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Ammortamenti\"/>
    </mc:Choice>
  </mc:AlternateContent>
  <bookViews>
    <workbookView xWindow="0" yWindow="12" windowWidth="11340" windowHeight="6540"/>
  </bookViews>
  <sheets>
    <sheet name="Foglio1" sheetId="1" r:id="rId1"/>
  </sheets>
  <definedNames>
    <definedName name="_xlnm._FilterDatabase" localSheetId="0" hidden="1">Foglio1!$A$49:$P$227</definedName>
    <definedName name="_xlnm.Print_Titles" localSheetId="0">Foglio1!$1:$2</definedName>
  </definedNames>
  <calcPr calcId="152511"/>
</workbook>
</file>

<file path=xl/calcChain.xml><?xml version="1.0" encoding="utf-8"?>
<calcChain xmlns="http://schemas.openxmlformats.org/spreadsheetml/2006/main">
  <c r="E314" i="1" l="1"/>
  <c r="E359" i="1" s="1"/>
  <c r="I357" i="1"/>
  <c r="E230" i="1"/>
  <c r="E311" i="1"/>
  <c r="E15" i="1" l="1"/>
  <c r="E377" i="1" l="1"/>
  <c r="I365" i="1"/>
  <c r="E365" i="1"/>
  <c r="K335" i="1"/>
  <c r="K334" i="1"/>
  <c r="K333" i="1"/>
  <c r="L331" i="1"/>
  <c r="K316" i="1"/>
  <c r="K315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I269" i="1"/>
  <c r="K294" i="1"/>
  <c r="K281" i="1"/>
  <c r="I283" i="1"/>
  <c r="I284" i="1"/>
  <c r="K284" i="1" s="1"/>
  <c r="I285" i="1"/>
  <c r="K285" i="1" s="1"/>
  <c r="I286" i="1"/>
  <c r="K286" i="1" s="1"/>
  <c r="I287" i="1"/>
  <c r="K287" i="1" s="1"/>
  <c r="I288" i="1"/>
  <c r="K288" i="1" s="1"/>
  <c r="I289" i="1"/>
  <c r="K289" i="1" s="1"/>
  <c r="I290" i="1"/>
  <c r="K290" i="1" s="1"/>
  <c r="I291" i="1"/>
  <c r="K291" i="1" s="1"/>
  <c r="I292" i="1"/>
  <c r="K292" i="1" s="1"/>
  <c r="I293" i="1"/>
  <c r="K293" i="1" s="1"/>
  <c r="K283" i="1" l="1"/>
  <c r="I314" i="1"/>
  <c r="K274" i="1"/>
  <c r="K276" i="1"/>
  <c r="K268" i="1"/>
  <c r="I267" i="1"/>
  <c r="K267" i="1" s="1"/>
  <c r="I243" i="1"/>
  <c r="K243" i="1" s="1"/>
  <c r="I244" i="1"/>
  <c r="K244" i="1" s="1"/>
  <c r="I246" i="1"/>
  <c r="K246" i="1" s="1"/>
  <c r="I247" i="1"/>
  <c r="K247" i="1" s="1"/>
  <c r="I248" i="1"/>
  <c r="K248" i="1" s="1"/>
  <c r="I249" i="1"/>
  <c r="K249" i="1" s="1"/>
  <c r="I250" i="1"/>
  <c r="K250" i="1" s="1"/>
  <c r="I251" i="1"/>
  <c r="K251" i="1" s="1"/>
  <c r="I252" i="1"/>
  <c r="K252" i="1" s="1"/>
  <c r="I253" i="1"/>
  <c r="K253" i="1" s="1"/>
  <c r="I254" i="1"/>
  <c r="K254" i="1" s="1"/>
  <c r="I255" i="1"/>
  <c r="K255" i="1" s="1"/>
  <c r="I256" i="1"/>
  <c r="K256" i="1" s="1"/>
  <c r="I257" i="1"/>
  <c r="K257" i="1" s="1"/>
  <c r="I258" i="1"/>
  <c r="K258" i="1" s="1"/>
  <c r="I259" i="1"/>
  <c r="K259" i="1" s="1"/>
  <c r="I260" i="1"/>
  <c r="K260" i="1" s="1"/>
  <c r="I261" i="1"/>
  <c r="K261" i="1" s="1"/>
  <c r="I262" i="1"/>
  <c r="K262" i="1" s="1"/>
  <c r="I263" i="1"/>
  <c r="K263" i="1" s="1"/>
  <c r="I264" i="1"/>
  <c r="K264" i="1" s="1"/>
  <c r="I231" i="1"/>
  <c r="K231" i="1" s="1"/>
  <c r="I232" i="1"/>
  <c r="K232" i="1" s="1"/>
  <c r="I233" i="1"/>
  <c r="K233" i="1" s="1"/>
  <c r="I234" i="1"/>
  <c r="K234" i="1" s="1"/>
  <c r="I235" i="1"/>
  <c r="K235" i="1" s="1"/>
  <c r="I236" i="1"/>
  <c r="K236" i="1" s="1"/>
  <c r="I237" i="1"/>
  <c r="K237" i="1" s="1"/>
  <c r="I238" i="1"/>
  <c r="K238" i="1" s="1"/>
  <c r="I239" i="1"/>
  <c r="K239" i="1" s="1"/>
  <c r="I240" i="1"/>
  <c r="K240" i="1" s="1"/>
  <c r="I241" i="1"/>
  <c r="K241" i="1" s="1"/>
  <c r="I242" i="1"/>
  <c r="K242" i="1" s="1"/>
  <c r="I230" i="1"/>
  <c r="K230" i="1" s="1"/>
  <c r="E265" i="1"/>
  <c r="K265" i="1" s="1"/>
  <c r="E245" i="1"/>
  <c r="I245" i="1" s="1"/>
  <c r="K245" i="1" s="1"/>
  <c r="K314" i="1" l="1"/>
  <c r="E161" i="1"/>
  <c r="E44" i="1"/>
  <c r="E38" i="1"/>
  <c r="E35" i="1"/>
  <c r="J7" i="1"/>
  <c r="J8" i="1"/>
  <c r="J6" i="1"/>
  <c r="E9" i="1"/>
  <c r="E47" i="1" l="1"/>
  <c r="J9" i="1"/>
  <c r="G15" i="1"/>
  <c r="E226" i="1" l="1"/>
  <c r="G226" i="1" s="1"/>
  <c r="I226" i="1" s="1"/>
  <c r="G376" i="1"/>
  <c r="I376" i="1" s="1"/>
  <c r="K376" i="1" s="1"/>
  <c r="I374" i="1"/>
  <c r="K375" i="1"/>
  <c r="I369" i="1"/>
  <c r="E369" i="1"/>
  <c r="G270" i="1"/>
  <c r="G271" i="1"/>
  <c r="G272" i="1"/>
  <c r="I272" i="1" s="1"/>
  <c r="K272" i="1" s="1"/>
  <c r="G273" i="1"/>
  <c r="I273" i="1" s="1"/>
  <c r="K273" i="1" s="1"/>
  <c r="G275" i="1"/>
  <c r="I275" i="1" s="1"/>
  <c r="K275" i="1" s="1"/>
  <c r="G276" i="1"/>
  <c r="I266" i="1"/>
  <c r="E269" i="1"/>
  <c r="G296" i="1"/>
  <c r="I296" i="1" s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36" i="1"/>
  <c r="G337" i="1"/>
  <c r="I337" i="1" s="1"/>
  <c r="K337" i="1" s="1"/>
  <c r="G338" i="1"/>
  <c r="I338" i="1" s="1"/>
  <c r="K338" i="1" s="1"/>
  <c r="G339" i="1"/>
  <c r="I339" i="1" s="1"/>
  <c r="K339" i="1" s="1"/>
  <c r="G340" i="1"/>
  <c r="I340" i="1" s="1"/>
  <c r="K340" i="1" s="1"/>
  <c r="G341" i="1"/>
  <c r="I341" i="1" s="1"/>
  <c r="K341" i="1" s="1"/>
  <c r="G342" i="1"/>
  <c r="I342" i="1" s="1"/>
  <c r="K342" i="1" s="1"/>
  <c r="G343" i="1"/>
  <c r="I343" i="1" s="1"/>
  <c r="K343" i="1" s="1"/>
  <c r="G344" i="1"/>
  <c r="I344" i="1" s="1"/>
  <c r="K344" i="1" s="1"/>
  <c r="G345" i="1"/>
  <c r="I345" i="1" s="1"/>
  <c r="K345" i="1" s="1"/>
  <c r="G346" i="1"/>
  <c r="I346" i="1" s="1"/>
  <c r="K346" i="1" s="1"/>
  <c r="G347" i="1"/>
  <c r="I347" i="1" s="1"/>
  <c r="K347" i="1" s="1"/>
  <c r="G348" i="1"/>
  <c r="I348" i="1" s="1"/>
  <c r="K348" i="1" s="1"/>
  <c r="G349" i="1"/>
  <c r="I349" i="1" s="1"/>
  <c r="K349" i="1" s="1"/>
  <c r="G350" i="1"/>
  <c r="I350" i="1" s="1"/>
  <c r="K350" i="1" s="1"/>
  <c r="G351" i="1"/>
  <c r="I351" i="1" s="1"/>
  <c r="K351" i="1" s="1"/>
  <c r="G352" i="1"/>
  <c r="I352" i="1" s="1"/>
  <c r="K352" i="1" s="1"/>
  <c r="G353" i="1"/>
  <c r="I353" i="1" s="1"/>
  <c r="K353" i="1" s="1"/>
  <c r="G354" i="1"/>
  <c r="I354" i="1" s="1"/>
  <c r="K354" i="1" s="1"/>
  <c r="G355" i="1"/>
  <c r="I355" i="1" s="1"/>
  <c r="K355" i="1" s="1"/>
  <c r="K356" i="1"/>
  <c r="I225" i="1"/>
  <c r="K225" i="1" s="1"/>
  <c r="I53" i="1"/>
  <c r="I54" i="1"/>
  <c r="K54" i="1" s="1"/>
  <c r="I55" i="1"/>
  <c r="K55" i="1" s="1"/>
  <c r="I56" i="1"/>
  <c r="K56" i="1" s="1"/>
  <c r="I57" i="1"/>
  <c r="K57" i="1" s="1"/>
  <c r="I58" i="1"/>
  <c r="K58" i="1" s="1"/>
  <c r="I59" i="1"/>
  <c r="K59" i="1" s="1"/>
  <c r="I60" i="1"/>
  <c r="K60" i="1" s="1"/>
  <c r="I61" i="1"/>
  <c r="K61" i="1" s="1"/>
  <c r="I62" i="1"/>
  <c r="K62" i="1" s="1"/>
  <c r="I63" i="1"/>
  <c r="K63" i="1" s="1"/>
  <c r="I64" i="1"/>
  <c r="K64" i="1" s="1"/>
  <c r="I65" i="1"/>
  <c r="K65" i="1" s="1"/>
  <c r="I66" i="1"/>
  <c r="K66" i="1" s="1"/>
  <c r="I67" i="1"/>
  <c r="K67" i="1" s="1"/>
  <c r="I68" i="1"/>
  <c r="K68" i="1" s="1"/>
  <c r="I69" i="1"/>
  <c r="K69" i="1" s="1"/>
  <c r="I70" i="1"/>
  <c r="K70" i="1" s="1"/>
  <c r="I71" i="1"/>
  <c r="K71" i="1" s="1"/>
  <c r="I72" i="1"/>
  <c r="K72" i="1" s="1"/>
  <c r="I73" i="1"/>
  <c r="K73" i="1" s="1"/>
  <c r="I74" i="1"/>
  <c r="K74" i="1" s="1"/>
  <c r="I75" i="1"/>
  <c r="K75" i="1" s="1"/>
  <c r="I76" i="1"/>
  <c r="K76" i="1" s="1"/>
  <c r="I77" i="1"/>
  <c r="K77" i="1" s="1"/>
  <c r="I78" i="1"/>
  <c r="K78" i="1" s="1"/>
  <c r="I79" i="1"/>
  <c r="K79" i="1" s="1"/>
  <c r="G80" i="1"/>
  <c r="G81" i="1"/>
  <c r="I81" i="1" s="1"/>
  <c r="K81" i="1" s="1"/>
  <c r="I82" i="1"/>
  <c r="K82" i="1" s="1"/>
  <c r="G83" i="1"/>
  <c r="I83" i="1" s="1"/>
  <c r="K83" i="1" s="1"/>
  <c r="G84" i="1"/>
  <c r="I84" i="1" s="1"/>
  <c r="K84" i="1" s="1"/>
  <c r="G85" i="1"/>
  <c r="I85" i="1" s="1"/>
  <c r="K85" i="1" s="1"/>
  <c r="G86" i="1"/>
  <c r="I86" i="1" s="1"/>
  <c r="K86" i="1" s="1"/>
  <c r="G87" i="1"/>
  <c r="I87" i="1" s="1"/>
  <c r="K87" i="1" s="1"/>
  <c r="G88" i="1"/>
  <c r="I88" i="1" s="1"/>
  <c r="K88" i="1" s="1"/>
  <c r="G89" i="1"/>
  <c r="I89" i="1" s="1"/>
  <c r="K89" i="1" s="1"/>
  <c r="G90" i="1"/>
  <c r="I90" i="1" s="1"/>
  <c r="K90" i="1" s="1"/>
  <c r="G91" i="1"/>
  <c r="I91" i="1" s="1"/>
  <c r="K91" i="1" s="1"/>
  <c r="G92" i="1"/>
  <c r="I92" i="1" s="1"/>
  <c r="K92" i="1" s="1"/>
  <c r="G93" i="1"/>
  <c r="I93" i="1" s="1"/>
  <c r="K93" i="1" s="1"/>
  <c r="G94" i="1"/>
  <c r="I94" i="1" s="1"/>
  <c r="K94" i="1" s="1"/>
  <c r="G95" i="1"/>
  <c r="I95" i="1" s="1"/>
  <c r="K95" i="1" s="1"/>
  <c r="G96" i="1"/>
  <c r="I96" i="1" s="1"/>
  <c r="K96" i="1" s="1"/>
  <c r="G97" i="1"/>
  <c r="I97" i="1" s="1"/>
  <c r="K97" i="1" s="1"/>
  <c r="G98" i="1"/>
  <c r="I98" i="1" s="1"/>
  <c r="K98" i="1" s="1"/>
  <c r="G99" i="1"/>
  <c r="I99" i="1" s="1"/>
  <c r="K99" i="1" s="1"/>
  <c r="G100" i="1"/>
  <c r="I100" i="1" s="1"/>
  <c r="K100" i="1" s="1"/>
  <c r="G101" i="1"/>
  <c r="I101" i="1" s="1"/>
  <c r="K101" i="1" s="1"/>
  <c r="G102" i="1"/>
  <c r="I102" i="1" s="1"/>
  <c r="K102" i="1" s="1"/>
  <c r="G103" i="1"/>
  <c r="I103" i="1" s="1"/>
  <c r="K103" i="1" s="1"/>
  <c r="G104" i="1"/>
  <c r="I104" i="1" s="1"/>
  <c r="K104" i="1" s="1"/>
  <c r="G105" i="1"/>
  <c r="I105" i="1" s="1"/>
  <c r="K105" i="1" s="1"/>
  <c r="G106" i="1"/>
  <c r="I106" i="1" s="1"/>
  <c r="K106" i="1" s="1"/>
  <c r="G107" i="1"/>
  <c r="I107" i="1" s="1"/>
  <c r="K107" i="1" s="1"/>
  <c r="G108" i="1"/>
  <c r="I108" i="1" s="1"/>
  <c r="K108" i="1" s="1"/>
  <c r="G109" i="1"/>
  <c r="I109" i="1" s="1"/>
  <c r="K109" i="1" s="1"/>
  <c r="G110" i="1"/>
  <c r="I110" i="1" s="1"/>
  <c r="K110" i="1" s="1"/>
  <c r="G111" i="1"/>
  <c r="I111" i="1" s="1"/>
  <c r="K111" i="1" s="1"/>
  <c r="G112" i="1"/>
  <c r="I112" i="1" s="1"/>
  <c r="K112" i="1" s="1"/>
  <c r="G113" i="1"/>
  <c r="I113" i="1" s="1"/>
  <c r="K113" i="1" s="1"/>
  <c r="G114" i="1"/>
  <c r="I114" i="1" s="1"/>
  <c r="K114" i="1" s="1"/>
  <c r="G115" i="1"/>
  <c r="I115" i="1" s="1"/>
  <c r="K115" i="1" s="1"/>
  <c r="G116" i="1"/>
  <c r="I116" i="1" s="1"/>
  <c r="K116" i="1" s="1"/>
  <c r="G117" i="1"/>
  <c r="I117" i="1" s="1"/>
  <c r="K117" i="1" s="1"/>
  <c r="G118" i="1"/>
  <c r="I118" i="1" s="1"/>
  <c r="K118" i="1" s="1"/>
  <c r="G119" i="1"/>
  <c r="I119" i="1" s="1"/>
  <c r="K119" i="1" s="1"/>
  <c r="G120" i="1"/>
  <c r="I120" i="1" s="1"/>
  <c r="K120" i="1" s="1"/>
  <c r="G121" i="1"/>
  <c r="I121" i="1" s="1"/>
  <c r="K121" i="1" s="1"/>
  <c r="G122" i="1"/>
  <c r="I122" i="1" s="1"/>
  <c r="K122" i="1" s="1"/>
  <c r="G123" i="1"/>
  <c r="I123" i="1" s="1"/>
  <c r="K123" i="1" s="1"/>
  <c r="G124" i="1"/>
  <c r="I124" i="1" s="1"/>
  <c r="K124" i="1" s="1"/>
  <c r="G125" i="1"/>
  <c r="I125" i="1" s="1"/>
  <c r="K125" i="1" s="1"/>
  <c r="I126" i="1"/>
  <c r="K126" i="1" s="1"/>
  <c r="G127" i="1"/>
  <c r="I127" i="1" s="1"/>
  <c r="K127" i="1" s="1"/>
  <c r="E129" i="1"/>
  <c r="G130" i="1"/>
  <c r="I130" i="1" s="1"/>
  <c r="K130" i="1" s="1"/>
  <c r="G131" i="1"/>
  <c r="I131" i="1" s="1"/>
  <c r="K131" i="1" s="1"/>
  <c r="G132" i="1"/>
  <c r="I132" i="1" s="1"/>
  <c r="K132" i="1" s="1"/>
  <c r="G133" i="1"/>
  <c r="I133" i="1" s="1"/>
  <c r="K133" i="1" s="1"/>
  <c r="G134" i="1"/>
  <c r="I134" i="1" s="1"/>
  <c r="K134" i="1" s="1"/>
  <c r="G135" i="1"/>
  <c r="I135" i="1" s="1"/>
  <c r="K135" i="1" s="1"/>
  <c r="G136" i="1"/>
  <c r="I136" i="1" s="1"/>
  <c r="K136" i="1" s="1"/>
  <c r="E138" i="1"/>
  <c r="G138" i="1" s="1"/>
  <c r="I138" i="1" s="1"/>
  <c r="K138" i="1" s="1"/>
  <c r="G139" i="1"/>
  <c r="I139" i="1" s="1"/>
  <c r="K139" i="1" s="1"/>
  <c r="E141" i="1"/>
  <c r="G141" i="1" s="1"/>
  <c r="I141" i="1" s="1"/>
  <c r="K141" i="1" s="1"/>
  <c r="G142" i="1"/>
  <c r="I142" i="1" s="1"/>
  <c r="K142" i="1" s="1"/>
  <c r="G143" i="1"/>
  <c r="I143" i="1" s="1"/>
  <c r="K143" i="1" s="1"/>
  <c r="G144" i="1"/>
  <c r="I144" i="1" s="1"/>
  <c r="K144" i="1" s="1"/>
  <c r="G145" i="1"/>
  <c r="I145" i="1" s="1"/>
  <c r="K145" i="1" s="1"/>
  <c r="E147" i="1"/>
  <c r="G147" i="1" s="1"/>
  <c r="I147" i="1" s="1"/>
  <c r="G148" i="1"/>
  <c r="I148" i="1" s="1"/>
  <c r="K148" i="1" s="1"/>
  <c r="G149" i="1"/>
  <c r="I149" i="1" s="1"/>
  <c r="K149" i="1" s="1"/>
  <c r="E151" i="1"/>
  <c r="G151" i="1" s="1"/>
  <c r="I151" i="1" s="1"/>
  <c r="K151" i="1" s="1"/>
  <c r="G152" i="1"/>
  <c r="I152" i="1" s="1"/>
  <c r="K152" i="1" s="1"/>
  <c r="G153" i="1"/>
  <c r="I153" i="1" s="1"/>
  <c r="K153" i="1" s="1"/>
  <c r="E155" i="1"/>
  <c r="G155" i="1" s="1"/>
  <c r="I155" i="1" s="1"/>
  <c r="G156" i="1"/>
  <c r="I156" i="1" s="1"/>
  <c r="K156" i="1" s="1"/>
  <c r="G157" i="1"/>
  <c r="I157" i="1" s="1"/>
  <c r="K157" i="1" s="1"/>
  <c r="G158" i="1"/>
  <c r="I158" i="1" s="1"/>
  <c r="K158" i="1" s="1"/>
  <c r="G159" i="1"/>
  <c r="I159" i="1" s="1"/>
  <c r="K159" i="1" s="1"/>
  <c r="G161" i="1"/>
  <c r="I161" i="1" s="1"/>
  <c r="K161" i="1" s="1"/>
  <c r="G162" i="1"/>
  <c r="I162" i="1" s="1"/>
  <c r="K162" i="1" s="1"/>
  <c r="G163" i="1"/>
  <c r="I163" i="1" s="1"/>
  <c r="K163" i="1" s="1"/>
  <c r="G164" i="1"/>
  <c r="I164" i="1" s="1"/>
  <c r="K164" i="1" s="1"/>
  <c r="G165" i="1"/>
  <c r="I165" i="1" s="1"/>
  <c r="K165" i="1" s="1"/>
  <c r="G166" i="1"/>
  <c r="I166" i="1" s="1"/>
  <c r="K166" i="1" s="1"/>
  <c r="E167" i="1"/>
  <c r="G167" i="1" s="1"/>
  <c r="I167" i="1" s="1"/>
  <c r="K167" i="1" s="1"/>
  <c r="G168" i="1"/>
  <c r="I168" i="1" s="1"/>
  <c r="K168" i="1" s="1"/>
  <c r="G169" i="1"/>
  <c r="I169" i="1" s="1"/>
  <c r="K169" i="1" s="1"/>
  <c r="G170" i="1"/>
  <c r="I170" i="1" s="1"/>
  <c r="K170" i="1" s="1"/>
  <c r="G171" i="1"/>
  <c r="I171" i="1" s="1"/>
  <c r="K171" i="1" s="1"/>
  <c r="G172" i="1"/>
  <c r="I172" i="1" s="1"/>
  <c r="K172" i="1" s="1"/>
  <c r="G173" i="1"/>
  <c r="I173" i="1" s="1"/>
  <c r="K173" i="1" s="1"/>
  <c r="G174" i="1"/>
  <c r="I174" i="1" s="1"/>
  <c r="K174" i="1" s="1"/>
  <c r="G175" i="1"/>
  <c r="I175" i="1" s="1"/>
  <c r="K175" i="1" s="1"/>
  <c r="G176" i="1"/>
  <c r="I176" i="1" s="1"/>
  <c r="K176" i="1" s="1"/>
  <c r="G177" i="1"/>
  <c r="I177" i="1" s="1"/>
  <c r="K177" i="1" s="1"/>
  <c r="G178" i="1"/>
  <c r="I178" i="1" s="1"/>
  <c r="K178" i="1" s="1"/>
  <c r="G179" i="1"/>
  <c r="I179" i="1" s="1"/>
  <c r="K179" i="1" s="1"/>
  <c r="G180" i="1"/>
  <c r="I180" i="1" s="1"/>
  <c r="K180" i="1" s="1"/>
  <c r="G181" i="1"/>
  <c r="I181" i="1" s="1"/>
  <c r="K181" i="1" s="1"/>
  <c r="G182" i="1"/>
  <c r="I182" i="1" s="1"/>
  <c r="K182" i="1" s="1"/>
  <c r="G183" i="1"/>
  <c r="I183" i="1" s="1"/>
  <c r="K183" i="1" s="1"/>
  <c r="G184" i="1"/>
  <c r="I184" i="1" s="1"/>
  <c r="K184" i="1" s="1"/>
  <c r="G185" i="1"/>
  <c r="I185" i="1" s="1"/>
  <c r="K185" i="1" s="1"/>
  <c r="G186" i="1"/>
  <c r="I186" i="1" s="1"/>
  <c r="K186" i="1" s="1"/>
  <c r="G187" i="1"/>
  <c r="I187" i="1" s="1"/>
  <c r="K187" i="1" s="1"/>
  <c r="G188" i="1"/>
  <c r="I188" i="1" s="1"/>
  <c r="K188" i="1" s="1"/>
  <c r="G189" i="1"/>
  <c r="I189" i="1" s="1"/>
  <c r="K189" i="1" s="1"/>
  <c r="G190" i="1"/>
  <c r="I190" i="1" s="1"/>
  <c r="K190" i="1" s="1"/>
  <c r="G191" i="1"/>
  <c r="I191" i="1" s="1"/>
  <c r="K191" i="1" s="1"/>
  <c r="G192" i="1"/>
  <c r="I192" i="1" s="1"/>
  <c r="K192" i="1" s="1"/>
  <c r="G193" i="1"/>
  <c r="I193" i="1" s="1"/>
  <c r="K193" i="1" s="1"/>
  <c r="G194" i="1"/>
  <c r="I194" i="1" s="1"/>
  <c r="K194" i="1" s="1"/>
  <c r="G195" i="1"/>
  <c r="I195" i="1" s="1"/>
  <c r="K195" i="1" s="1"/>
  <c r="G196" i="1"/>
  <c r="I196" i="1" s="1"/>
  <c r="K196" i="1" s="1"/>
  <c r="G197" i="1"/>
  <c r="I197" i="1" s="1"/>
  <c r="K197" i="1" s="1"/>
  <c r="G198" i="1"/>
  <c r="I198" i="1" s="1"/>
  <c r="K198" i="1" s="1"/>
  <c r="G199" i="1"/>
  <c r="I199" i="1" s="1"/>
  <c r="K199" i="1" s="1"/>
  <c r="G200" i="1"/>
  <c r="I200" i="1" s="1"/>
  <c r="K200" i="1" s="1"/>
  <c r="G201" i="1"/>
  <c r="I201" i="1" s="1"/>
  <c r="K201" i="1" s="1"/>
  <c r="G202" i="1"/>
  <c r="I202" i="1" s="1"/>
  <c r="K202" i="1" s="1"/>
  <c r="G203" i="1"/>
  <c r="I203" i="1" s="1"/>
  <c r="K203" i="1" s="1"/>
  <c r="G204" i="1"/>
  <c r="I204" i="1" s="1"/>
  <c r="K204" i="1" s="1"/>
  <c r="G205" i="1"/>
  <c r="I205" i="1" s="1"/>
  <c r="K205" i="1" s="1"/>
  <c r="G206" i="1"/>
  <c r="I206" i="1" s="1"/>
  <c r="K206" i="1" s="1"/>
  <c r="G207" i="1"/>
  <c r="I207" i="1" s="1"/>
  <c r="K207" i="1" s="1"/>
  <c r="G208" i="1"/>
  <c r="I208" i="1" s="1"/>
  <c r="K208" i="1" s="1"/>
  <c r="G209" i="1"/>
  <c r="I209" i="1" s="1"/>
  <c r="K209" i="1" s="1"/>
  <c r="G210" i="1"/>
  <c r="I210" i="1" s="1"/>
  <c r="K210" i="1" s="1"/>
  <c r="G211" i="1"/>
  <c r="I211" i="1" s="1"/>
  <c r="K211" i="1" s="1"/>
  <c r="G212" i="1"/>
  <c r="I212" i="1" s="1"/>
  <c r="K212" i="1" s="1"/>
  <c r="G213" i="1"/>
  <c r="I213" i="1" s="1"/>
  <c r="K213" i="1" s="1"/>
  <c r="G214" i="1"/>
  <c r="I214" i="1" s="1"/>
  <c r="K214" i="1" s="1"/>
  <c r="G215" i="1"/>
  <c r="I215" i="1" s="1"/>
  <c r="K215" i="1" s="1"/>
  <c r="E216" i="1"/>
  <c r="G217" i="1"/>
  <c r="I217" i="1" s="1"/>
  <c r="K217" i="1" s="1"/>
  <c r="G218" i="1"/>
  <c r="I218" i="1" s="1"/>
  <c r="K218" i="1" s="1"/>
  <c r="E219" i="1"/>
  <c r="G219" i="1" s="1"/>
  <c r="I219" i="1" s="1"/>
  <c r="K219" i="1" s="1"/>
  <c r="G220" i="1"/>
  <c r="I220" i="1" s="1"/>
  <c r="K220" i="1" s="1"/>
  <c r="G221" i="1"/>
  <c r="I221" i="1" s="1"/>
  <c r="K221" i="1" s="1"/>
  <c r="G222" i="1"/>
  <c r="I222" i="1" s="1"/>
  <c r="K222" i="1" s="1"/>
  <c r="G223" i="1"/>
  <c r="I223" i="1" s="1"/>
  <c r="K223" i="1" s="1"/>
  <c r="G224" i="1"/>
  <c r="I224" i="1" s="1"/>
  <c r="K224" i="1" s="1"/>
  <c r="K50" i="1"/>
  <c r="K51" i="1"/>
  <c r="K52" i="1"/>
  <c r="I22" i="1"/>
  <c r="K22" i="1" s="1"/>
  <c r="K21" i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K34" i="1"/>
  <c r="G36" i="1"/>
  <c r="I36" i="1" s="1"/>
  <c r="K36" i="1" s="1"/>
  <c r="K37" i="1"/>
  <c r="G39" i="1"/>
  <c r="I39" i="1" s="1"/>
  <c r="K39" i="1" s="1"/>
  <c r="G40" i="1"/>
  <c r="I40" i="1" s="1"/>
  <c r="K40" i="1" s="1"/>
  <c r="G41" i="1"/>
  <c r="I41" i="1" s="1"/>
  <c r="K41" i="1" s="1"/>
  <c r="G42" i="1"/>
  <c r="I42" i="1" s="1"/>
  <c r="K42" i="1" s="1"/>
  <c r="K43" i="1"/>
  <c r="G44" i="1"/>
  <c r="I44" i="1" s="1"/>
  <c r="K44" i="1" s="1"/>
  <c r="G45" i="1"/>
  <c r="I45" i="1" s="1"/>
  <c r="K45" i="1" s="1"/>
  <c r="G46" i="1"/>
  <c r="I46" i="1" s="1"/>
  <c r="K46" i="1" s="1"/>
  <c r="G17" i="1"/>
  <c r="I17" i="1" s="1"/>
  <c r="K17" i="1" s="1"/>
  <c r="G16" i="1"/>
  <c r="I16" i="1" s="1"/>
  <c r="K16" i="1" s="1"/>
  <c r="I336" i="1" l="1"/>
  <c r="I359" i="1" s="1"/>
  <c r="G359" i="1"/>
  <c r="G129" i="1"/>
  <c r="I129" i="1" s="1"/>
  <c r="K129" i="1" s="1"/>
  <c r="E227" i="1"/>
  <c r="I80" i="1"/>
  <c r="K80" i="1" s="1"/>
  <c r="G18" i="1"/>
  <c r="K53" i="1"/>
  <c r="K374" i="1"/>
  <c r="K377" i="1" s="1"/>
  <c r="I377" i="1"/>
  <c r="G278" i="1"/>
  <c r="I301" i="1"/>
  <c r="K301" i="1" s="1"/>
  <c r="I300" i="1"/>
  <c r="K300" i="1" s="1"/>
  <c r="I309" i="1"/>
  <c r="K309" i="1" s="1"/>
  <c r="I305" i="1"/>
  <c r="K305" i="1" s="1"/>
  <c r="I310" i="1"/>
  <c r="K310" i="1" s="1"/>
  <c r="I306" i="1"/>
  <c r="K306" i="1" s="1"/>
  <c r="I302" i="1"/>
  <c r="K302" i="1" s="1"/>
  <c r="I298" i="1"/>
  <c r="K298" i="1" s="1"/>
  <c r="I307" i="1"/>
  <c r="K307" i="1" s="1"/>
  <c r="I303" i="1"/>
  <c r="K303" i="1" s="1"/>
  <c r="I299" i="1"/>
  <c r="K299" i="1" s="1"/>
  <c r="I308" i="1"/>
  <c r="K308" i="1" s="1"/>
  <c r="I304" i="1"/>
  <c r="K304" i="1" s="1"/>
  <c r="I297" i="1"/>
  <c r="K297" i="1" s="1"/>
  <c r="K266" i="1"/>
  <c r="K269" i="1"/>
  <c r="E278" i="1"/>
  <c r="I270" i="1"/>
  <c r="K270" i="1" s="1"/>
  <c r="K226" i="1"/>
  <c r="G311" i="1"/>
  <c r="K296" i="1"/>
  <c r="G377" i="1"/>
  <c r="K336" i="1"/>
  <c r="K147" i="1"/>
  <c r="G216" i="1"/>
  <c r="I216" i="1" s="1"/>
  <c r="I271" i="1"/>
  <c r="K271" i="1" s="1"/>
  <c r="K155" i="1"/>
  <c r="G38" i="1"/>
  <c r="I38" i="1" s="1"/>
  <c r="K38" i="1" s="1"/>
  <c r="G35" i="1"/>
  <c r="E18" i="1"/>
  <c r="I227" i="1" l="1"/>
  <c r="I311" i="1"/>
  <c r="G227" i="1"/>
  <c r="K311" i="1"/>
  <c r="K278" i="1"/>
  <c r="I278" i="1"/>
  <c r="K216" i="1"/>
  <c r="K227" i="1" s="1"/>
  <c r="G47" i="1"/>
  <c r="I35" i="1"/>
  <c r="I15" i="1"/>
  <c r="I18" i="1" s="1"/>
  <c r="I47" i="1" l="1"/>
  <c r="K35" i="1"/>
  <c r="K47" i="1" s="1"/>
  <c r="K15" i="1"/>
  <c r="K18" i="1" s="1"/>
  <c r="K358" i="1"/>
  <c r="K359" i="1" s="1"/>
</calcChain>
</file>

<file path=xl/sharedStrings.xml><?xml version="1.0" encoding="utf-8"?>
<sst xmlns="http://schemas.openxmlformats.org/spreadsheetml/2006/main" count="724" uniqueCount="350">
  <si>
    <t>Data</t>
  </si>
  <si>
    <t>Descrizione del bene</t>
  </si>
  <si>
    <t>anno di acquisizione</t>
  </si>
  <si>
    <t>importo variazioni</t>
  </si>
  <si>
    <t>importo aggiornato</t>
  </si>
  <si>
    <t>%</t>
  </si>
  <si>
    <t>accantonamento dell'esercizio</t>
  </si>
  <si>
    <t>utilizzazione</t>
  </si>
  <si>
    <t>totale accantonato</t>
  </si>
  <si>
    <t>Art.16,c 4 importo non amm.</t>
  </si>
  <si>
    <t>residuo da ammortizzare</t>
  </si>
  <si>
    <t>VALORE DEL BENE</t>
  </si>
  <si>
    <t>FONDO DI AMMORTAMENTO</t>
  </si>
  <si>
    <t>FABBRICATI</t>
  </si>
  <si>
    <t>TERRENI</t>
  </si>
  <si>
    <t>30.06.2017</t>
  </si>
  <si>
    <t>TOTALE:</t>
  </si>
  <si>
    <t>Fabbricato di Via Brigata Osoppo Fontanafredda</t>
  </si>
  <si>
    <t>Terreno di Via Brigata Osoppo Fontanafredda</t>
  </si>
  <si>
    <t>Porte antipanico</t>
  </si>
  <si>
    <t>Contributo PSR</t>
  </si>
  <si>
    <t>COSTRUZIONI LEGGERE</t>
  </si>
  <si>
    <t>Monoblocco ST50U</t>
  </si>
  <si>
    <t>Coordinam. Esecuz. Lavori</t>
  </si>
  <si>
    <t>Sondaggi terreno</t>
  </si>
  <si>
    <t>Collaudo stat. Capannone</t>
  </si>
  <si>
    <t>Fondazioni capannone (Collodetto)</t>
  </si>
  <si>
    <t>Strutture metall. Cap. (Off Rover)</t>
  </si>
  <si>
    <t>Pannelli parete (Off. Rover)</t>
  </si>
  <si>
    <t>Impianto elettrico capannone (E. Toffoli)</t>
  </si>
  <si>
    <t>Accatastamento capannone (Basso)</t>
  </si>
  <si>
    <t>Prog. Direz. Lavori (Sardi)</t>
  </si>
  <si>
    <t>Imp. Elettrico apert. Fin. (E. Toffoli)</t>
  </si>
  <si>
    <t>Box spogliatoio (Sedonati)</t>
  </si>
  <si>
    <t>Ampliamento tettoia (Tofano srl)</t>
  </si>
  <si>
    <t>Copert. Compres. (Off. Rover)</t>
  </si>
  <si>
    <t>Pensil. Op.m. (Del Fiol)</t>
  </si>
  <si>
    <t>Piano sicurezza (Del Fiol)</t>
  </si>
  <si>
    <t>Progetti, assistenza (Benedet)</t>
  </si>
  <si>
    <t>Pensiiline str. (Del Fiol)</t>
  </si>
  <si>
    <t>Calcoli statici (Della Puppa)</t>
  </si>
  <si>
    <t>Prog. Assist. (Benedet)</t>
  </si>
  <si>
    <t>Collaudo lav. (Dal Cin)</t>
  </si>
  <si>
    <t>Relaz. Finale (Benedet)</t>
  </si>
  <si>
    <t>IMPIANTI E MACCHINARI</t>
  </si>
  <si>
    <t>Filtro a candele</t>
  </si>
  <si>
    <t>Elettrop.2C600 + invert.</t>
  </si>
  <si>
    <t>Adeguam. Impianto elettrico</t>
  </si>
  <si>
    <t>Progetto e direz. Lav. Vinificatori</t>
  </si>
  <si>
    <t>Impianto elettrico vinificatore</t>
  </si>
  <si>
    <t>Adeguamento Impianto elettrico</t>
  </si>
  <si>
    <t>Contributo Regionale su ripristino danni</t>
  </si>
  <si>
    <t>Porta erogatori in acciaio</t>
  </si>
  <si>
    <t>Impianto linea pc spaccio</t>
  </si>
  <si>
    <t>Impianto CO2 depuratore Negozio Sede</t>
  </si>
  <si>
    <t>Protezione in gomma tramogge</t>
  </si>
  <si>
    <t>Impianto elettrico 2 vinificatori</t>
  </si>
  <si>
    <t>Impianto elettrico pressa</t>
  </si>
  <si>
    <t xml:space="preserve">Flottatore </t>
  </si>
  <si>
    <t>Compress. Mark RF50</t>
  </si>
  <si>
    <t>Impianto allarme Bentel</t>
  </si>
  <si>
    <t>Ecostabili A100</t>
  </si>
  <si>
    <t>Ripristino Software A100</t>
  </si>
  <si>
    <t>Impianto mob. 3 sp.</t>
  </si>
  <si>
    <t>Bombola 2K CO2</t>
  </si>
  <si>
    <t>Impianto Pigiatura Press.</t>
  </si>
  <si>
    <t>Scarico inst.pressa</t>
  </si>
  <si>
    <t>Impianto elettrico pigiatura</t>
  </si>
  <si>
    <t>Impianto idrico pigiatura</t>
  </si>
  <si>
    <t>Impianto elettrico pressat.</t>
  </si>
  <si>
    <t>Quadro elettrico</t>
  </si>
  <si>
    <t>Modifica quadro</t>
  </si>
  <si>
    <t>Impianto elettrico + q.e.</t>
  </si>
  <si>
    <t>Prova avviamento impianto</t>
  </si>
  <si>
    <t>Impianto raffredamento uve</t>
  </si>
  <si>
    <t>Caldaia risc. Ferroli</t>
  </si>
  <si>
    <t>Piattaforma pressa</t>
  </si>
  <si>
    <t>Cancello rec.serb.</t>
  </si>
  <si>
    <t>Rete rec. Serb.</t>
  </si>
  <si>
    <t>Pompa somm. Dep.</t>
  </si>
  <si>
    <t>Impianto climatizzazione negozio</t>
  </si>
  <si>
    <t>Impianto elettrico climatizzatore</t>
  </si>
  <si>
    <t>Impianto CO2 serbatoi</t>
  </si>
  <si>
    <t>Imp. Frigo</t>
  </si>
  <si>
    <t>RS Service Srl</t>
  </si>
  <si>
    <t>DT Tecno</t>
  </si>
  <si>
    <t>Emporio Toffoli</t>
  </si>
  <si>
    <t>Distributore automatico Fil. Klangenfurt</t>
  </si>
  <si>
    <t>Impianto CO2 da Klangenfurt</t>
  </si>
  <si>
    <t>Lavadamigiane Sies da Klangenfurt</t>
  </si>
  <si>
    <t>Erogatore man. Inox da Cantina del Cigno srl</t>
  </si>
  <si>
    <t>Serbatoio inox da 5 HL. Cantina del Cigno srl</t>
  </si>
  <si>
    <t>Erogatore man. Inox Cantina del Cigno srl</t>
  </si>
  <si>
    <t>Impianto CO2 Cantina del Cigno srl</t>
  </si>
  <si>
    <t>Serbatoio inox da HL.15 Neg. Cinisello Balsamo</t>
  </si>
  <si>
    <t>Impianto CO2 Neg. Cinisello Balsamo</t>
  </si>
  <si>
    <t>Erogatori man. Inox Cinisello Balsamo</t>
  </si>
  <si>
    <t>Attacchi per erogatore Cinisello Balsamo</t>
  </si>
  <si>
    <t>Fondo Botte lavor. Negozio di Monza</t>
  </si>
  <si>
    <t>Distributore automatico Sies Neg. Di Monza</t>
  </si>
  <si>
    <t>Serb. Inox da Hl.20 Neg. Di Monza</t>
  </si>
  <si>
    <t>Serb. Inox da Hl.15 Neg. Di Monza</t>
  </si>
  <si>
    <t>Impianto CO2 Neg. Di Monza</t>
  </si>
  <si>
    <t>Impianto CO2 Neg. Di Missaglia</t>
  </si>
  <si>
    <t>Lavadamigiane da neg. Di Villach</t>
  </si>
  <si>
    <t>Serbatoio inox da neg. Di Villach</t>
  </si>
  <si>
    <t>Fondi Botte in rovere da neg. Di Villach</t>
  </si>
  <si>
    <t>Contributp PSR</t>
  </si>
  <si>
    <t>Serbatoio acciaio inox Neg. Di Pordenone</t>
  </si>
  <si>
    <t>Trasporto e scarico serbatoio neg. Di Pordenone</t>
  </si>
  <si>
    <t>Distributore con verif. Metrica neg. Di Pordenone</t>
  </si>
  <si>
    <t>Macc. Lavapavimenti Neg. Di Pordenone</t>
  </si>
  <si>
    <t>Pompa per vino Neg. Di Pordenone</t>
  </si>
  <si>
    <t>Gruppo continuità Neg. Di Maniago</t>
  </si>
  <si>
    <t>Fondi botte Neg. Di Maniago</t>
  </si>
  <si>
    <t>Distributore automatico Neg. Di Maniago</t>
  </si>
  <si>
    <t>Serbatoi inox da 15 Hl Neg. Di Maniago</t>
  </si>
  <si>
    <t>Impianto CO2 Neg. Di Maniago</t>
  </si>
  <si>
    <t>Fondi botte Neg. Di Tolmezzo</t>
  </si>
  <si>
    <t>Serbatoi inox da 15 Hl Neg. Di Tolmezzo</t>
  </si>
  <si>
    <t>Serbatoi inox da 20 Hl Neg. Di Tolmezzo</t>
  </si>
  <si>
    <t>Distributore automatico Neg. Di Tolmezzo</t>
  </si>
  <si>
    <t>Impianto CO2 Neg. Di Tolmezzo</t>
  </si>
  <si>
    <t>Lavadamigiane elettrico Neg. Di Cesano Maderno</t>
  </si>
  <si>
    <t>Impianto CO2 Neg. Di Cesano Maderno</t>
  </si>
  <si>
    <t>N.8 erogatori vino Neg. Di Cesano Maderno</t>
  </si>
  <si>
    <t>N.4 erogatori vino comodato Castel di Godego</t>
  </si>
  <si>
    <t>Impianto CO2 comodato Castel di Godego</t>
  </si>
  <si>
    <t>Impianto CO2 comodato Puos d'Alpago</t>
  </si>
  <si>
    <t>N.4 erogatori vino comodato Puos d'Alpago</t>
  </si>
  <si>
    <t>N.4 erogatori vino comodato Voelkermarkt</t>
  </si>
  <si>
    <t>Impianto CO2 comodato Voelkermarkt</t>
  </si>
  <si>
    <t>Impianto CO2 comodato ad Adria</t>
  </si>
  <si>
    <t>Erogatori inox  comodato ad Adria</t>
  </si>
  <si>
    <t>Fondi botte comodato a Monza La Frasca</t>
  </si>
  <si>
    <t>Impianto a spina in comodato all'Antica Botte</t>
  </si>
  <si>
    <t>Fondi botte a rovere in comodato all'Antinca Botte</t>
  </si>
  <si>
    <t>Distr. Automatico Sies in comodato all'Antica Botte</t>
  </si>
  <si>
    <t>Parete divisoria in comodato all'Antica Botte</t>
  </si>
  <si>
    <t>Serbatoi inox in comodato a Cordenons</t>
  </si>
  <si>
    <t>Aste liv. Serb. 7.5 Hl in comodato a Cordenons</t>
  </si>
  <si>
    <t>Impianto CO2 in comodato a Cordenons</t>
  </si>
  <si>
    <t>Impianto Azoto in comodato a Soc.Conzato Augusto</t>
  </si>
  <si>
    <t>ATTREZZATURA</t>
  </si>
  <si>
    <t>Variatore Epicicl.</t>
  </si>
  <si>
    <t>Carrello sgocc.dg.</t>
  </si>
  <si>
    <t>Scala per magazzino</t>
  </si>
  <si>
    <t>Segnaletica sicurezza</t>
  </si>
  <si>
    <t>Estintore con supporto</t>
  </si>
  <si>
    <t>Banco spina in comodato Neg. Cesano Maderno</t>
  </si>
  <si>
    <t>Lavadamigiane in comodato a Neg. Cordenons</t>
  </si>
  <si>
    <t>Tavolo espositore negozio</t>
  </si>
  <si>
    <t>Banco bar con frigo, 3 tavolini e 24 sedie</t>
  </si>
  <si>
    <t>Scrivania e piani st.v.</t>
  </si>
  <si>
    <t xml:space="preserve">Cassettiera a 3 </t>
  </si>
  <si>
    <t>Armadio con cristalli</t>
  </si>
  <si>
    <t>Armadio a 4 ante</t>
  </si>
  <si>
    <t>Scrivania senza cs</t>
  </si>
  <si>
    <t>Portina va e vieni</t>
  </si>
  <si>
    <t>Arredamento Filiale Austriaca</t>
  </si>
  <si>
    <t>Arredamento neg. Villach</t>
  </si>
  <si>
    <t>Banco frigo con anta</t>
  </si>
  <si>
    <t>Scaffali in abete</t>
  </si>
  <si>
    <t>Base lavello e pensile</t>
  </si>
  <si>
    <t>Arredo negozio Maniago</t>
  </si>
  <si>
    <t xml:space="preserve">Scaffali e arredo in comodato All'antica Botte </t>
  </si>
  <si>
    <t>TOTALI:</t>
  </si>
  <si>
    <t>MACCHINE PER UFFICIO</t>
  </si>
  <si>
    <t>MOBILI PER UFFICIO</t>
  </si>
  <si>
    <t xml:space="preserve">Ipad 3 Apple </t>
  </si>
  <si>
    <t>Nr. 2 Bilance Vis.</t>
  </si>
  <si>
    <t>Nr. 1 Buffalo Link</t>
  </si>
  <si>
    <t>Nr. 2 PC i3as</t>
  </si>
  <si>
    <t>Nr. 2 PC i5as</t>
  </si>
  <si>
    <t>Nr. 1 Notebook Samsung</t>
  </si>
  <si>
    <t>Nr. 1 Monitor Philips</t>
  </si>
  <si>
    <t>Hanna Kit HP compl.</t>
  </si>
  <si>
    <t>Steroglass - Strum. Lab.</t>
  </si>
  <si>
    <t>Nr. 1 Switch 16 p.</t>
  </si>
  <si>
    <t>Nr. 1 Fax Canon L220</t>
  </si>
  <si>
    <t>Stampante Epson Neg. Pordenone</t>
  </si>
  <si>
    <t>Pc As. SHC Neg. Pordenone</t>
  </si>
  <si>
    <t>Bilancia Neg. Maniago</t>
  </si>
  <si>
    <t>Fax Brither Neg. Maniago</t>
  </si>
  <si>
    <t>Misuratore fiscale Neg. Maniago</t>
  </si>
  <si>
    <t>Bilancia Neg. Tolmezzo</t>
  </si>
  <si>
    <t>Telefax samsung Neg. Di Cantu'</t>
  </si>
  <si>
    <t>Nr. 1 Misuratore fiscale Neg. Pordenone</t>
  </si>
  <si>
    <t>Cespiti in comodato Neg. Puos D'Alpago</t>
  </si>
  <si>
    <t>Anticipazione a fornitore</t>
  </si>
  <si>
    <t>Cespiti Negozio di Cantu</t>
  </si>
  <si>
    <t>AUTOMEZZI</t>
  </si>
  <si>
    <t>Moltiplicatori Lieviti Bravin Graziano</t>
  </si>
  <si>
    <t>Carrello elevatore CRM</t>
  </si>
  <si>
    <t>Ns. Fattura di Vendita Nr. 38</t>
  </si>
  <si>
    <t>COSTI DI RICERCA, SVILUPPO E PUBBLICITA'</t>
  </si>
  <si>
    <t>Contr. Nuovi vigneti ai soci</t>
  </si>
  <si>
    <t>COSTI PLURIENNALI SU BENI DI TERZI</t>
  </si>
  <si>
    <t>Bancone e scaffali Neg. A Missaglia</t>
  </si>
  <si>
    <t>Frigorifero Feltrin Srl</t>
  </si>
  <si>
    <t>Rivalutazione 2009 (Dl. 185/08)</t>
  </si>
  <si>
    <t>Fitzpatrick mark jason</t>
  </si>
  <si>
    <t>Serbatoio Inox da 15 Hl. (Ritirato da Neg. Castel di Godego)</t>
  </si>
  <si>
    <t>Nr.3 Serbatoi Inox da 15 Hl (Ritirato da Neg.Cantù)</t>
  </si>
  <si>
    <t>Nr. 7 Serbatoi Inox da 15 Hl (Ritirato da Neg. Cantù)</t>
  </si>
  <si>
    <t>Lavadamigiane elettrico (Ritirato da Neg. Cantù)</t>
  </si>
  <si>
    <t>Gocciolatoio Damigiane (Ritirato da Neg. Cantù)</t>
  </si>
  <si>
    <t>Insegna luminosa (Ritirato da Neg. Missaglia)</t>
  </si>
  <si>
    <t>Nr. 6 Erogatori manuali (Ritirato da Neg. Missaglia)</t>
  </si>
  <si>
    <t>Nr. 6 Portagomma (Ritirato da Neg. Missaglia)</t>
  </si>
  <si>
    <t>Nr. 4 Serbatoi Inox da Hl. 15 (Ritirato da Neg. Missaglia)</t>
  </si>
  <si>
    <t>Cespiti ammortizzati presso Neg. Di Pordenone</t>
  </si>
  <si>
    <t>Cespiti ammortizzati presso Neg. Di Maniago</t>
  </si>
  <si>
    <t>Cespiti ammortizzati presso Neg. Di Tolmezzo</t>
  </si>
  <si>
    <t xml:space="preserve">Bilancia M.702 in comodato a Cesano Maderno </t>
  </si>
  <si>
    <t>Nr. 8 Serbatoi inox da 15 Hl in comodato a Cesano Maderno</t>
  </si>
  <si>
    <t>Lavadamigiane elettrico in comodato a Castel di Godego</t>
  </si>
  <si>
    <t>Nr. 4 Serbatoi Inox da HL 15 in comodato a Castel di Godego</t>
  </si>
  <si>
    <t>Lavadamigiane elettrico in comodato a Puos D'Alpago</t>
  </si>
  <si>
    <t>Nr.4 Serbatoi Inox da 15 Hl in comodato a Puos D'Alpago</t>
  </si>
  <si>
    <t>Nr. 4 Serbatoi Inox da 15 Hl in comodato a Voelkermarkt</t>
  </si>
  <si>
    <t>Lavadamigiane elettrico in comodato a Voelkermarkt</t>
  </si>
  <si>
    <t>Nr. 4 Serbatoi inox da 15 Hl in comodato ad Adria</t>
  </si>
  <si>
    <t>Lavadamigiane elettrico in comodato ad Adria</t>
  </si>
  <si>
    <t>Gocciolatoio Damigiane in comodato ad Adria</t>
  </si>
  <si>
    <t>Nr. 2 Insegne luminose in comodato ad Adria</t>
  </si>
  <si>
    <t>Lavadamigiane in comodato a Monza</t>
  </si>
  <si>
    <t>Insegna luminosa in comodato a Cinisello Balsamo</t>
  </si>
  <si>
    <t>Lavadamigiane in comodato All'Antica Botte</t>
  </si>
  <si>
    <t>Insegna luminosa in comodato All'Antica Botte</t>
  </si>
  <si>
    <t xml:space="preserve">Tende interne </t>
  </si>
  <si>
    <t>Saldatrice completa</t>
  </si>
  <si>
    <t>Piera Martellozzo Alcolyzer</t>
  </si>
  <si>
    <t>Scala allum. Ritirato da Neg. Di Cantù</t>
  </si>
  <si>
    <t>Tende Veneziane</t>
  </si>
  <si>
    <t>Ruote Nastro Mob.</t>
  </si>
  <si>
    <t>Sensori P. CO2</t>
  </si>
  <si>
    <t>Nr. 2 piani circol. In abete</t>
  </si>
  <si>
    <t>Tavolo Neg. Pordenone</t>
  </si>
  <si>
    <t>Sgabello Cashier</t>
  </si>
  <si>
    <t>Scaffale in abete Neg. Pordenone</t>
  </si>
  <si>
    <t>Scaffale in abete Neg. Maniago</t>
  </si>
  <si>
    <t>Sedia Bordò Neg. Pordenone</t>
  </si>
  <si>
    <t>Sgabello Cashier Neg. Maniago</t>
  </si>
  <si>
    <t>Banco Vendita Cesano Maderno</t>
  </si>
  <si>
    <t>Nr. 2 scaffali in abete Neg. Cesano Maderno</t>
  </si>
  <si>
    <t>Sgabello Neg. All'Antica Botte</t>
  </si>
  <si>
    <t>Scaffale in abete Neg. All'Antica Botte</t>
  </si>
  <si>
    <t>Vendita macchina da scrivere Neg. Klagenfurt</t>
  </si>
  <si>
    <t>30,06,2017</t>
  </si>
  <si>
    <t>Vendita nr. 2 mobili spogliatoio</t>
  </si>
  <si>
    <t>Nr. 2 mobili spogliatoio</t>
  </si>
  <si>
    <t xml:space="preserve"> </t>
  </si>
  <si>
    <t>Notebook Hp</t>
  </si>
  <si>
    <t>App. Lab. Oenofoss</t>
  </si>
  <si>
    <t>Fotocopiatrice Triumph</t>
  </si>
  <si>
    <t>Note B. 15,6" Emachine</t>
  </si>
  <si>
    <t>Misuratore fiscale Wincor</t>
  </si>
  <si>
    <t>P.C. HP + 1 lic. Acucobol (CDM)</t>
  </si>
  <si>
    <t>Video HP Tft piatto</t>
  </si>
  <si>
    <t>Stampante Epson LX 1170</t>
  </si>
  <si>
    <t>Stampante NEC P70</t>
  </si>
  <si>
    <t>Trattore per NEC P70</t>
  </si>
  <si>
    <t>Calcolatrice Logos 692</t>
  </si>
  <si>
    <t>Misuratore fiscale Underw.</t>
  </si>
  <si>
    <t>Calcolatrice Citizen</t>
  </si>
  <si>
    <t>Bilancia Vis. c/o Neg. Di Pordenone</t>
  </si>
  <si>
    <t>Misuratore fiscale Olivetto c/o Neg. Di Tolmezzo</t>
  </si>
  <si>
    <t>905,,21</t>
  </si>
  <si>
    <t>Scanner Epson</t>
  </si>
  <si>
    <t>Macchine per ufficio in comodato c/o Neg. All'Antica Botte</t>
  </si>
  <si>
    <t>Macchine per ufficio in comodato c/o Neg. A Puos D'Alpago</t>
  </si>
  <si>
    <t>Furgone Mercedes B.</t>
  </si>
  <si>
    <t>Consorzio agr. Trattore John D.</t>
  </si>
  <si>
    <t>Impianto elettrico Neg. Di Maniago</t>
  </si>
  <si>
    <t>Impianto idrico Neg. Di Maniago</t>
  </si>
  <si>
    <t>Condizionatore Negozio di Pordenone</t>
  </si>
  <si>
    <t>Riporto costruzioni leggere ammortizzate</t>
  </si>
  <si>
    <t>Riporto impianti e macchinari ammortizzati</t>
  </si>
  <si>
    <t xml:space="preserve">Impianto di videosorveglianza </t>
  </si>
  <si>
    <t xml:space="preserve">Impianto elettrico allacc.coclee </t>
  </si>
  <si>
    <t xml:space="preserve">Impianto chiusura coclee uve </t>
  </si>
  <si>
    <t xml:space="preserve">Impianto Coclea sc.pressa </t>
  </si>
  <si>
    <t xml:space="preserve">Impianto semaforico </t>
  </si>
  <si>
    <t xml:space="preserve">Modifica cabina elettr. </t>
  </si>
  <si>
    <t xml:space="preserve">Collegamento pesa </t>
  </si>
  <si>
    <t xml:space="preserve">Allacciamento termoidr. 2 vinificatori </t>
  </si>
  <si>
    <t xml:space="preserve">Scarico e posizionamento vinificatori </t>
  </si>
  <si>
    <t xml:space="preserve">Vinificatori XSYC </t>
  </si>
  <si>
    <t xml:space="preserve">Basamento pressa e passerelle </t>
  </si>
  <si>
    <t xml:space="preserve">Scarico e posizionamento pressa </t>
  </si>
  <si>
    <t xml:space="preserve">Pressa VS250 </t>
  </si>
  <si>
    <t xml:space="preserve">Pesa da m. 14 </t>
  </si>
  <si>
    <t xml:space="preserve">Pompa vino 5NCMINV </t>
  </si>
  <si>
    <t xml:space="preserve">Impianto idrico centrif. E serbatoi </t>
  </si>
  <si>
    <t xml:space="preserve">Impianto linea pc spaccio </t>
  </si>
  <si>
    <t xml:space="preserve">Impianto telefoni interni </t>
  </si>
  <si>
    <t xml:space="preserve">Idropulitrice usata HV150-15 </t>
  </si>
  <si>
    <t xml:space="preserve">Base in legno erog. Spina </t>
  </si>
  <si>
    <t xml:space="preserve">Erogatore a spina mobile </t>
  </si>
  <si>
    <t xml:space="preserve">Coclea orizzontale silos vinaccia </t>
  </si>
  <si>
    <t xml:space="preserve">Sonda preleva campione </t>
  </si>
  <si>
    <t xml:space="preserve">Compressore da Lt. 100 </t>
  </si>
  <si>
    <t xml:space="preserve">Compressore da Lt. 24 </t>
  </si>
  <si>
    <t xml:space="preserve">Longoni tramogge acciaio inox </t>
  </si>
  <si>
    <t xml:space="preserve">Camini inox per centrale termica </t>
  </si>
  <si>
    <t xml:space="preserve">Dosatore PH per depuratore </t>
  </si>
  <si>
    <t xml:space="preserve">Compress. Da 3 Hl. </t>
  </si>
  <si>
    <t xml:space="preserve">Demineralizzatore </t>
  </si>
  <si>
    <t xml:space="preserve">Collaudo impianto vinificatore </t>
  </si>
  <si>
    <t xml:space="preserve">Gruppo continuità P.Maselli </t>
  </si>
  <si>
    <t xml:space="preserve">Modifica su impianto di depurazione </t>
  </si>
  <si>
    <t xml:space="preserve">Coprivalvole in acciaio </t>
  </si>
  <si>
    <t xml:space="preserve">Collaudo opere </t>
  </si>
  <si>
    <t xml:space="preserve">Coibentazione tubi vinificatore </t>
  </si>
  <si>
    <t xml:space="preserve">Impianto idrico e termico vinificatore </t>
  </si>
  <si>
    <t xml:space="preserve">Valvole p.serb.termovin. </t>
  </si>
  <si>
    <t xml:space="preserve">Impianto elettrico vinificatore </t>
  </si>
  <si>
    <t xml:space="preserve">Montaggio vinificatore Autogru' </t>
  </si>
  <si>
    <t xml:space="preserve">Vinificatore e passerelle </t>
  </si>
  <si>
    <t xml:space="preserve">Collegamento elettrico refrigeratore </t>
  </si>
  <si>
    <t xml:space="preserve">Refrigerat. Est. C10/80 </t>
  </si>
  <si>
    <t xml:space="preserve">Aeratori somm. Depurat. </t>
  </si>
  <si>
    <t xml:space="preserve">Pompe rotho </t>
  </si>
  <si>
    <t xml:space="preserve">Integratore per laboratorio </t>
  </si>
  <si>
    <t xml:space="preserve">Comando pompa a distanza </t>
  </si>
  <si>
    <t xml:space="preserve">Prese e cavi impianto Computers </t>
  </si>
  <si>
    <t xml:space="preserve">Adeguamento Impianto elettrico </t>
  </si>
  <si>
    <t xml:space="preserve">Collaudo vinificatori </t>
  </si>
  <si>
    <t xml:space="preserve">Impianto condizionatore e Raffreddamento </t>
  </si>
  <si>
    <t xml:space="preserve">6 Vinificatori C780/650 acc. </t>
  </si>
  <si>
    <t xml:space="preserve">Piastre di basamento </t>
  </si>
  <si>
    <t xml:space="preserve">Nolo piattaforma </t>
  </si>
  <si>
    <t xml:space="preserve">Trasform.p.cabina </t>
  </si>
  <si>
    <t xml:space="preserve">Refrigeratore per vinificatore </t>
  </si>
  <si>
    <t xml:space="preserve">Serb.termov.modif. </t>
  </si>
  <si>
    <t xml:space="preserve">Passerelle e coclee pressa </t>
  </si>
  <si>
    <t xml:space="preserve">Phmetro da laboratorio </t>
  </si>
  <si>
    <t xml:space="preserve">Elimina code spaccio </t>
  </si>
  <si>
    <t xml:space="preserve">Apparecchio Alcolombi </t>
  </si>
  <si>
    <t xml:space="preserve">Scioglitore acc. Inox </t>
  </si>
  <si>
    <t xml:space="preserve">Compressore fini m. Tiger </t>
  </si>
  <si>
    <t xml:space="preserve">Filtro a dischi orrizontale più allacciamento </t>
  </si>
  <si>
    <t>Riporto attrezzatura ammortizzata</t>
  </si>
  <si>
    <t>Riporto Mobili e macchine d'ufficio ammortizzati</t>
  </si>
  <si>
    <t>Riporto Macchine per ufficio ammortizzate</t>
  </si>
  <si>
    <t>Riporto Macchine per ufficio ammortizzate presso Neg. Di Pordenone</t>
  </si>
  <si>
    <t>Riporto Macchine per ufficio ammortizzate presso Neg. Di Maniago</t>
  </si>
  <si>
    <t>Riporto Macchine per ufficio ammortizzate presso Neg. Di Tolmezzo</t>
  </si>
  <si>
    <t>Riporto Automezzi ammortizzati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</si>
</sst>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#,##0.00_ ;\-#,##0.00\ "/>
  </numFmts>
  <fonts count="16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sz val="7"/>
      <name val="Times New Roman"/>
      <family val="1"/>
    </font>
    <font>
      <sz val="7"/>
      <name val="Arial"/>
      <family val="2"/>
    </font>
    <font>
      <b/>
      <sz val="9"/>
      <name val="Times New Roman"/>
      <family val="1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Times New Roman"/>
      <family val="1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3" fillId="0" borderId="3" xfId="0" applyFont="1" applyBorder="1"/>
    <xf numFmtId="0" fontId="5" fillId="0" borderId="2" xfId="0" applyFont="1" applyBorder="1" applyAlignment="1">
      <alignment horizontal="center"/>
    </xf>
    <xf numFmtId="41" fontId="3" fillId="0" borderId="4" xfId="2" applyFont="1" applyBorder="1"/>
    <xf numFmtId="41" fontId="2" fillId="0" borderId="0" xfId="2" applyFont="1"/>
    <xf numFmtId="41" fontId="3" fillId="0" borderId="3" xfId="2" applyFont="1" applyBorder="1" applyAlignment="1">
      <alignment horizontal="center"/>
    </xf>
    <xf numFmtId="41" fontId="3" fillId="0" borderId="3" xfId="2" applyFont="1" applyBorder="1"/>
    <xf numFmtId="0" fontId="9" fillId="0" borderId="2" xfId="0" applyFont="1" applyBorder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9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4" fontId="5" fillId="0" borderId="2" xfId="2" applyNumberFormat="1" applyFont="1" applyBorder="1"/>
    <xf numFmtId="4" fontId="5" fillId="0" borderId="1" xfId="2" applyNumberFormat="1" applyFont="1" applyBorder="1"/>
    <xf numFmtId="4" fontId="5" fillId="0" borderId="7" xfId="2" applyNumberFormat="1" applyFont="1" applyBorder="1"/>
    <xf numFmtId="4" fontId="9" fillId="0" borderId="2" xfId="2" applyNumberFormat="1" applyFont="1" applyBorder="1"/>
    <xf numFmtId="4" fontId="9" fillId="0" borderId="7" xfId="2" applyNumberFormat="1" applyFont="1" applyBorder="1"/>
    <xf numFmtId="4" fontId="5" fillId="0" borderId="6" xfId="2" applyNumberFormat="1" applyFont="1" applyBorder="1"/>
    <xf numFmtId="1" fontId="3" fillId="0" borderId="10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6" fillId="0" borderId="0" xfId="0" applyFont="1" applyBorder="1"/>
    <xf numFmtId="0" fontId="5" fillId="0" borderId="2" xfId="0" applyFont="1" applyBorder="1" applyAlignment="1">
      <alignment horizontal="left"/>
    </xf>
    <xf numFmtId="4" fontId="5" fillId="0" borderId="2" xfId="2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4" fontId="5" fillId="0" borderId="2" xfId="2" applyNumberFormat="1" applyFont="1" applyBorder="1" applyAlignment="1">
      <alignment horizontal="right"/>
    </xf>
    <xf numFmtId="4" fontId="5" fillId="0" borderId="1" xfId="2" applyNumberFormat="1" applyFont="1" applyBorder="1" applyAlignment="1">
      <alignment horizontal="right"/>
    </xf>
    <xf numFmtId="4" fontId="5" fillId="0" borderId="7" xfId="2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4" fontId="5" fillId="0" borderId="8" xfId="2" applyNumberFormat="1" applyFont="1" applyBorder="1" applyAlignment="1">
      <alignment horizontal="right"/>
    </xf>
    <xf numFmtId="4" fontId="9" fillId="0" borderId="2" xfId="2" applyNumberFormat="1" applyFont="1" applyBorder="1" applyAlignment="1">
      <alignment horizontal="right"/>
    </xf>
    <xf numFmtId="4" fontId="9" fillId="0" borderId="1" xfId="2" applyNumberFormat="1" applyFont="1" applyBorder="1" applyAlignment="1">
      <alignment horizontal="right"/>
    </xf>
    <xf numFmtId="4" fontId="9" fillId="0" borderId="7" xfId="2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justify"/>
    </xf>
    <xf numFmtId="41" fontId="7" fillId="0" borderId="9" xfId="2" applyFont="1" applyBorder="1" applyAlignment="1">
      <alignment horizontal="center" vertical="center"/>
    </xf>
    <xf numFmtId="41" fontId="7" fillId="0" borderId="0" xfId="2" applyFont="1" applyBorder="1" applyAlignment="1">
      <alignment horizontal="center" vertical="justify"/>
    </xf>
    <xf numFmtId="41" fontId="7" fillId="0" borderId="0" xfId="2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/>
    </xf>
    <xf numFmtId="4" fontId="5" fillId="0" borderId="2" xfId="0" applyNumberFormat="1" applyFont="1" applyBorder="1"/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justify"/>
      <protection locked="0"/>
    </xf>
    <xf numFmtId="41" fontId="7" fillId="0" borderId="11" xfId="2" applyFont="1" applyBorder="1" applyAlignment="1" applyProtection="1">
      <alignment horizontal="center" vertical="center"/>
      <protection locked="0"/>
    </xf>
    <xf numFmtId="1" fontId="7" fillId="0" borderId="13" xfId="0" applyNumberFormat="1" applyFont="1" applyBorder="1" applyAlignment="1" applyProtection="1">
      <alignment horizontal="center" vertical="center"/>
      <protection locked="0"/>
    </xf>
    <xf numFmtId="41" fontId="7" fillId="0" borderId="11" xfId="2" applyFont="1" applyBorder="1" applyAlignment="1" applyProtection="1">
      <alignment horizontal="center" vertical="justify"/>
      <protection locked="0"/>
    </xf>
    <xf numFmtId="41" fontId="7" fillId="0" borderId="13" xfId="2" applyFont="1" applyBorder="1" applyAlignment="1" applyProtection="1">
      <alignment horizontal="center" vertical="center"/>
      <protection locked="0"/>
    </xf>
    <xf numFmtId="41" fontId="7" fillId="0" borderId="13" xfId="2" applyFont="1" applyBorder="1" applyAlignment="1" applyProtection="1">
      <alignment horizontal="center" vertical="justify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justify"/>
      <protection locked="0"/>
    </xf>
    <xf numFmtId="41" fontId="7" fillId="0" borderId="16" xfId="2" applyFont="1" applyBorder="1" applyAlignment="1" applyProtection="1">
      <alignment horizontal="center" vertical="center"/>
      <protection locked="0"/>
    </xf>
    <xf numFmtId="41" fontId="7" fillId="0" borderId="0" xfId="2" applyFont="1" applyBorder="1" applyAlignment="1" applyProtection="1">
      <alignment horizontal="center" vertical="justify"/>
      <protection locked="0"/>
    </xf>
    <xf numFmtId="1" fontId="7" fillId="0" borderId="0" xfId="0" applyNumberFormat="1" applyFont="1" applyBorder="1" applyAlignment="1" applyProtection="1">
      <alignment horizontal="center" vertical="center"/>
      <protection locked="0"/>
    </xf>
    <xf numFmtId="41" fontId="7" fillId="0" borderId="16" xfId="2" applyFont="1" applyBorder="1" applyAlignment="1" applyProtection="1">
      <alignment horizontal="center" vertical="justify"/>
      <protection locked="0"/>
    </xf>
    <xf numFmtId="41" fontId="7" fillId="0" borderId="0" xfId="2" applyFont="1" applyBorder="1" applyAlignment="1" applyProtection="1">
      <alignment horizontal="center" vertical="center"/>
      <protection locked="0"/>
    </xf>
    <xf numFmtId="41" fontId="7" fillId="0" borderId="17" xfId="2" applyFont="1" applyBorder="1" applyAlignment="1" applyProtection="1">
      <alignment horizontal="center" vertical="justify"/>
      <protection locked="0"/>
    </xf>
    <xf numFmtId="43" fontId="6" fillId="0" borderId="0" xfId="1" applyFont="1"/>
    <xf numFmtId="4" fontId="6" fillId="0" borderId="0" xfId="0" applyNumberFormat="1" applyFont="1"/>
    <xf numFmtId="4" fontId="10" fillId="0" borderId="0" xfId="0" applyNumberFormat="1" applyFont="1"/>
    <xf numFmtId="14" fontId="9" fillId="0" borderId="5" xfId="0" applyNumberFormat="1" applyFont="1" applyBorder="1" applyAlignment="1">
      <alignment horizontal="center"/>
    </xf>
    <xf numFmtId="43" fontId="10" fillId="0" borderId="0" xfId="1" applyFont="1"/>
    <xf numFmtId="0" fontId="9" fillId="0" borderId="2" xfId="0" applyFont="1" applyBorder="1" applyAlignment="1">
      <alignment horizontal="left"/>
    </xf>
    <xf numFmtId="0" fontId="11" fillId="0" borderId="6" xfId="0" applyNumberFormat="1" applyFont="1" applyBorder="1"/>
    <xf numFmtId="0" fontId="11" fillId="0" borderId="0" xfId="0" applyFont="1"/>
    <xf numFmtId="9" fontId="5" fillId="0" borderId="6" xfId="3" applyFont="1" applyBorder="1" applyAlignment="1">
      <alignment horizontal="center"/>
    </xf>
    <xf numFmtId="9" fontId="5" fillId="0" borderId="2" xfId="3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41" fontId="7" fillId="0" borderId="9" xfId="2" applyFont="1" applyBorder="1" applyAlignment="1" applyProtection="1">
      <alignment horizontal="center" vertical="center"/>
      <protection locked="0"/>
    </xf>
    <xf numFmtId="4" fontId="9" fillId="0" borderId="5" xfId="0" applyNumberFormat="1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10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4" fontId="5" fillId="0" borderId="5" xfId="0" applyNumberFormat="1" applyFont="1" applyBorder="1" applyAlignment="1">
      <alignment horizontal="right"/>
    </xf>
    <xf numFmtId="43" fontId="5" fillId="0" borderId="5" xfId="1" applyFont="1" applyBorder="1" applyAlignment="1">
      <alignment horizontal="right"/>
    </xf>
    <xf numFmtId="43" fontId="5" fillId="0" borderId="5" xfId="0" applyNumberFormat="1" applyFont="1" applyBorder="1" applyAlignment="1">
      <alignment horizontal="right"/>
    </xf>
    <xf numFmtId="43" fontId="5" fillId="0" borderId="2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9" fontId="9" fillId="0" borderId="2" xfId="3" applyFont="1" applyBorder="1" applyAlignment="1">
      <alignment horizontal="center"/>
    </xf>
    <xf numFmtId="4" fontId="5" fillId="0" borderId="2" xfId="2" applyNumberFormat="1" applyFont="1" applyFill="1" applyBorder="1" applyAlignment="1">
      <alignment horizontal="right"/>
    </xf>
    <xf numFmtId="4" fontId="5" fillId="0" borderId="1" xfId="2" applyNumberFormat="1" applyFont="1" applyFill="1" applyBorder="1" applyAlignment="1">
      <alignment horizontal="right"/>
    </xf>
    <xf numFmtId="4" fontId="9" fillId="0" borderId="1" xfId="2" applyNumberFormat="1" applyFont="1" applyFill="1" applyBorder="1" applyAlignment="1">
      <alignment horizontal="right"/>
    </xf>
    <xf numFmtId="4" fontId="9" fillId="0" borderId="1" xfId="2" applyNumberFormat="1" applyFont="1" applyBorder="1"/>
    <xf numFmtId="0" fontId="12" fillId="0" borderId="0" xfId="0" applyFont="1"/>
    <xf numFmtId="43" fontId="12" fillId="0" borderId="0" xfId="1" applyFont="1"/>
    <xf numFmtId="43" fontId="11" fillId="0" borderId="0" xfId="0" applyNumberFormat="1" applyFont="1"/>
    <xf numFmtId="4" fontId="11" fillId="0" borderId="0" xfId="0" applyNumberFormat="1" applyFont="1"/>
    <xf numFmtId="4" fontId="12" fillId="0" borderId="0" xfId="0" applyNumberFormat="1" applyFont="1"/>
    <xf numFmtId="9" fontId="5" fillId="0" borderId="2" xfId="0" applyNumberFormat="1" applyFont="1" applyBorder="1" applyAlignment="1">
      <alignment horizontal="center"/>
    </xf>
    <xf numFmtId="0" fontId="5" fillId="0" borderId="2" xfId="0" applyFont="1" applyFill="1" applyBorder="1"/>
    <xf numFmtId="0" fontId="5" fillId="0" borderId="1" xfId="0" applyFont="1" applyFill="1" applyBorder="1" applyAlignment="1">
      <alignment horizontal="center"/>
    </xf>
    <xf numFmtId="4" fontId="5" fillId="0" borderId="2" xfId="2" applyNumberFormat="1" applyFont="1" applyFill="1" applyBorder="1"/>
    <xf numFmtId="4" fontId="5" fillId="0" borderId="1" xfId="2" applyNumberFormat="1" applyFont="1" applyFill="1" applyBorder="1"/>
    <xf numFmtId="4" fontId="5" fillId="0" borderId="7" xfId="2" applyNumberFormat="1" applyFont="1" applyFill="1" applyBorder="1"/>
    <xf numFmtId="0" fontId="11" fillId="0" borderId="0" xfId="0" applyFont="1" applyFill="1"/>
    <xf numFmtId="9" fontId="5" fillId="0" borderId="2" xfId="0" applyNumberFormat="1" applyFont="1" applyFill="1" applyBorder="1" applyAlignment="1">
      <alignment horizontal="center"/>
    </xf>
    <xf numFmtId="14" fontId="5" fillId="0" borderId="5" xfId="0" applyNumberFormat="1" applyFont="1" applyFill="1" applyBorder="1" applyAlignment="1">
      <alignment horizontal="center"/>
    </xf>
    <xf numFmtId="9" fontId="5" fillId="0" borderId="2" xfId="3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2" xfId="0" applyFont="1" applyBorder="1"/>
    <xf numFmtId="0" fontId="13" fillId="0" borderId="1" xfId="0" applyFont="1" applyBorder="1" applyAlignment="1">
      <alignment horizontal="center"/>
    </xf>
    <xf numFmtId="4" fontId="13" fillId="0" borderId="2" xfId="2" applyNumberFormat="1" applyFont="1" applyBorder="1"/>
    <xf numFmtId="4" fontId="13" fillId="0" borderId="1" xfId="2" applyNumberFormat="1" applyFont="1" applyBorder="1"/>
    <xf numFmtId="9" fontId="13" fillId="0" borderId="2" xfId="3" applyFont="1" applyBorder="1" applyAlignment="1">
      <alignment horizontal="center"/>
    </xf>
    <xf numFmtId="4" fontId="13" fillId="0" borderId="7" xfId="2" applyNumberFormat="1" applyFont="1" applyBorder="1"/>
    <xf numFmtId="0" fontId="14" fillId="0" borderId="0" xfId="0" applyFont="1"/>
    <xf numFmtId="0" fontId="5" fillId="0" borderId="5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/>
    </xf>
    <xf numFmtId="43" fontId="5" fillId="0" borderId="1" xfId="1" applyFont="1" applyFill="1" applyBorder="1" applyAlignment="1">
      <alignment horizontal="center"/>
    </xf>
    <xf numFmtId="9" fontId="5" fillId="0" borderId="6" xfId="3" applyFont="1" applyFill="1" applyBorder="1" applyAlignment="1">
      <alignment horizontal="center"/>
    </xf>
    <xf numFmtId="4" fontId="5" fillId="0" borderId="6" xfId="2" applyNumberFormat="1" applyFont="1" applyFill="1" applyBorder="1"/>
    <xf numFmtId="4" fontId="9" fillId="0" borderId="2" xfId="2" applyNumberFormat="1" applyFont="1" applyFill="1" applyBorder="1"/>
    <xf numFmtId="0" fontId="11" fillId="0" borderId="6" xfId="0" applyNumberFormat="1" applyFont="1" applyFill="1" applyBorder="1"/>
    <xf numFmtId="0" fontId="10" fillId="0" borderId="0" xfId="0" applyFont="1" applyFill="1"/>
    <xf numFmtId="4" fontId="5" fillId="0" borderId="18" xfId="2" applyNumberFormat="1" applyFont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0" fontId="6" fillId="0" borderId="0" xfId="0" applyFont="1" applyFill="1"/>
    <xf numFmtId="43" fontId="6" fillId="0" borderId="0" xfId="1" applyFont="1" applyFill="1"/>
    <xf numFmtId="4" fontId="6" fillId="0" borderId="0" xfId="0" applyNumberFormat="1" applyFont="1" applyFill="1"/>
    <xf numFmtId="0" fontId="15" fillId="0" borderId="0" xfId="0" applyFont="1"/>
    <xf numFmtId="14" fontId="13" fillId="0" borderId="5" xfId="0" applyNumberFormat="1" applyFont="1" applyBorder="1" applyAlignment="1">
      <alignment horizontal="center"/>
    </xf>
    <xf numFmtId="1" fontId="13" fillId="0" borderId="2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Fill="1"/>
    <xf numFmtId="4" fontId="13" fillId="0" borderId="1" xfId="2" applyNumberFormat="1" applyFont="1" applyFill="1" applyBorder="1"/>
    <xf numFmtId="0" fontId="5" fillId="0" borderId="2" xfId="0" applyFont="1" applyBorder="1" applyAlignment="1">
      <alignment wrapText="1"/>
    </xf>
    <xf numFmtId="43" fontId="1" fillId="0" borderId="0" xfId="1" applyFont="1"/>
    <xf numFmtId="43" fontId="5" fillId="0" borderId="2" xfId="1" applyFont="1" applyBorder="1"/>
    <xf numFmtId="164" fontId="5" fillId="0" borderId="2" xfId="1" applyNumberFormat="1" applyFont="1" applyBorder="1"/>
    <xf numFmtId="43" fontId="5" fillId="0" borderId="1" xfId="1" applyFont="1" applyFill="1" applyBorder="1"/>
    <xf numFmtId="43" fontId="5" fillId="0" borderId="1" xfId="1" applyFont="1" applyFill="1" applyBorder="1" applyAlignment="1">
      <alignment horizontal="right"/>
    </xf>
    <xf numFmtId="41" fontId="3" fillId="0" borderId="4" xfId="2" applyFont="1" applyFill="1" applyBorder="1"/>
    <xf numFmtId="41" fontId="7" fillId="0" borderId="14" xfId="2" applyFont="1" applyFill="1" applyBorder="1" applyAlignment="1" applyProtection="1">
      <alignment horizontal="center" vertical="justify"/>
      <protection locked="0"/>
    </xf>
    <xf numFmtId="41" fontId="7" fillId="0" borderId="0" xfId="2" applyFont="1" applyFill="1" applyBorder="1" applyAlignment="1" applyProtection="1">
      <alignment horizontal="center" vertical="justify"/>
      <protection locked="0"/>
    </xf>
    <xf numFmtId="4" fontId="5" fillId="0" borderId="0" xfId="2" applyNumberFormat="1" applyFont="1" applyFill="1" applyBorder="1" applyAlignment="1">
      <alignment horizontal="right"/>
    </xf>
    <xf numFmtId="4" fontId="5" fillId="0" borderId="5" xfId="0" applyNumberFormat="1" applyFont="1" applyFill="1" applyBorder="1" applyAlignment="1">
      <alignment horizontal="right"/>
    </xf>
    <xf numFmtId="43" fontId="5" fillId="0" borderId="5" xfId="1" applyFont="1" applyFill="1" applyBorder="1" applyAlignment="1">
      <alignment horizontal="center"/>
    </xf>
    <xf numFmtId="4" fontId="9" fillId="0" borderId="7" xfId="2" applyNumberFormat="1" applyFont="1" applyFill="1" applyBorder="1"/>
    <xf numFmtId="43" fontId="5" fillId="0" borderId="2" xfId="1" applyFont="1" applyFill="1" applyBorder="1" applyAlignment="1">
      <alignment horizontal="center"/>
    </xf>
    <xf numFmtId="4" fontId="9" fillId="0" borderId="2" xfId="2" applyNumberFormat="1" applyFont="1" applyFill="1" applyBorder="1" applyAlignment="1">
      <alignment horizontal="right"/>
    </xf>
    <xf numFmtId="4" fontId="5" fillId="0" borderId="1" xfId="2" applyNumberFormat="1" applyFont="1" applyFill="1" applyBorder="1" applyAlignment="1"/>
    <xf numFmtId="4" fontId="13" fillId="0" borderId="2" xfId="2" applyNumberFormat="1" applyFont="1" applyFill="1" applyBorder="1"/>
    <xf numFmtId="4" fontId="9" fillId="0" borderId="1" xfId="2" applyNumberFormat="1" applyFont="1" applyFill="1" applyBorder="1"/>
    <xf numFmtId="41" fontId="2" fillId="0" borderId="0" xfId="2" applyFont="1" applyFill="1"/>
    <xf numFmtId="43" fontId="9" fillId="0" borderId="1" xfId="1" applyFont="1" applyFill="1" applyBorder="1"/>
    <xf numFmtId="1" fontId="5" fillId="0" borderId="2" xfId="0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4" fontId="13" fillId="0" borderId="1" xfId="2" applyNumberFormat="1" applyFont="1" applyBorder="1" applyAlignment="1">
      <alignment horizontal="right"/>
    </xf>
    <xf numFmtId="4" fontId="13" fillId="0" borderId="2" xfId="2" applyNumberFormat="1" applyFont="1" applyFill="1" applyBorder="1" applyAlignment="1">
      <alignment horizontal="right"/>
    </xf>
    <xf numFmtId="4" fontId="13" fillId="0" borderId="2" xfId="2" applyNumberFormat="1" applyFont="1" applyBorder="1" applyAlignment="1">
      <alignment horizontal="right"/>
    </xf>
    <xf numFmtId="43" fontId="14" fillId="0" borderId="0" xfId="1" applyFont="1"/>
    <xf numFmtId="4" fontId="14" fillId="0" borderId="0" xfId="0" applyNumberFormat="1" applyFont="1"/>
    <xf numFmtId="164" fontId="5" fillId="0" borderId="1" xfId="1" applyNumberFormat="1" applyFont="1" applyFill="1" applyBorder="1"/>
    <xf numFmtId="43" fontId="5" fillId="0" borderId="2" xfId="1" applyFont="1" applyFill="1" applyBorder="1"/>
    <xf numFmtId="43" fontId="5" fillId="0" borderId="7" xfId="1" applyFont="1" applyFill="1" applyBorder="1"/>
    <xf numFmtId="43" fontId="5" fillId="0" borderId="2" xfId="1" applyFont="1" applyFill="1" applyBorder="1" applyAlignment="1">
      <alignment horizontal="right"/>
    </xf>
    <xf numFmtId="43" fontId="5" fillId="0" borderId="7" xfId="1" applyFont="1" applyFill="1" applyBorder="1" applyAlignment="1">
      <alignment horizontal="right"/>
    </xf>
  </cellXfs>
  <cellStyles count="4">
    <cellStyle name="Migliaia" xfId="1" builtinId="3"/>
    <cellStyle name="Migliaia [0]" xfId="2" builtinId="6"/>
    <cellStyle name="Normale" xfId="0" builtinId="0"/>
    <cellStyle name="Percentual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8"/>
  <sheetViews>
    <sheetView tabSelected="1" zoomScaleNormal="100" workbookViewId="0">
      <pane ySplit="2" topLeftCell="A5" activePane="bottomLeft" state="frozen"/>
      <selection pane="bottomLeft" activeCell="B378" sqref="B378"/>
    </sheetView>
  </sheetViews>
  <sheetFormatPr defaultRowHeight="13.2" x14ac:dyDescent="0.25"/>
  <cols>
    <col min="1" max="1" width="7.88671875" style="16" bestFit="1" customWidth="1"/>
    <col min="2" max="2" width="39.33203125" style="1" customWidth="1"/>
    <col min="3" max="3" width="11.77734375" style="1" customWidth="1"/>
    <col min="4" max="4" width="11.44140625" style="9" customWidth="1"/>
    <col min="5" max="5" width="11.88671875" style="155" customWidth="1"/>
    <col min="6" max="6" width="5.33203125" style="29" bestFit="1" customWidth="1"/>
    <col min="7" max="7" width="10.88671875" style="9" customWidth="1"/>
    <col min="8" max="8" width="10.44140625" style="9" customWidth="1"/>
    <col min="9" max="9" width="11.6640625" style="9" customWidth="1"/>
    <col min="10" max="10" width="11.44140625" style="9" customWidth="1"/>
    <col min="11" max="11" width="11.6640625" style="9" customWidth="1"/>
    <col min="12" max="12" width="9.109375" style="74" hidden="1" customWidth="1"/>
    <col min="13" max="13" width="11.6640625" style="74" bestFit="1" customWidth="1"/>
    <col min="14" max="14" width="13.109375" style="74" bestFit="1" customWidth="1"/>
    <col min="15" max="16" width="10.109375" style="74" bestFit="1" customWidth="1"/>
    <col min="17" max="16384" width="8.88671875" style="74"/>
  </cols>
  <sheetData>
    <row r="1" spans="1:11" s="2" customFormat="1" ht="12" customHeight="1" x14ac:dyDescent="0.2">
      <c r="A1" s="48"/>
      <c r="B1" s="49"/>
      <c r="C1" s="6"/>
      <c r="D1" s="10" t="s">
        <v>11</v>
      </c>
      <c r="E1" s="143"/>
      <c r="F1" s="26"/>
      <c r="G1" s="11"/>
      <c r="H1" s="11"/>
      <c r="I1" s="10" t="s">
        <v>12</v>
      </c>
      <c r="J1" s="11"/>
      <c r="K1" s="8"/>
    </row>
    <row r="2" spans="1:11" s="57" customFormat="1" ht="25.2" customHeight="1" x14ac:dyDescent="0.25">
      <c r="A2" s="50" t="s">
        <v>0</v>
      </c>
      <c r="B2" s="50" t="s">
        <v>1</v>
      </c>
      <c r="C2" s="51" t="s">
        <v>2</v>
      </c>
      <c r="D2" s="52" t="s">
        <v>3</v>
      </c>
      <c r="E2" s="144" t="s">
        <v>4</v>
      </c>
      <c r="F2" s="53" t="s">
        <v>5</v>
      </c>
      <c r="G2" s="54" t="s">
        <v>6</v>
      </c>
      <c r="H2" s="55" t="s">
        <v>7</v>
      </c>
      <c r="I2" s="54" t="s">
        <v>8</v>
      </c>
      <c r="J2" s="56" t="s">
        <v>9</v>
      </c>
      <c r="K2" s="54" t="s">
        <v>10</v>
      </c>
    </row>
    <row r="3" spans="1:11" s="57" customFormat="1" ht="3" hidden="1" customHeight="1" x14ac:dyDescent="0.25">
      <c r="A3" s="58"/>
      <c r="B3" s="59"/>
      <c r="C3" s="60"/>
      <c r="D3" s="61"/>
      <c r="E3" s="145"/>
      <c r="F3" s="63"/>
      <c r="G3" s="64"/>
      <c r="H3" s="65"/>
      <c r="I3" s="66"/>
      <c r="J3" s="62"/>
      <c r="K3" s="64"/>
    </row>
    <row r="4" spans="1:11" s="57" customFormat="1" ht="3" hidden="1" customHeight="1" x14ac:dyDescent="0.25">
      <c r="A4" s="58"/>
      <c r="B4" s="59"/>
      <c r="C4" s="60"/>
      <c r="D4" s="78"/>
      <c r="E4" s="145"/>
      <c r="F4" s="63"/>
      <c r="G4" s="64"/>
      <c r="H4" s="65"/>
      <c r="I4" s="66"/>
      <c r="J4" s="62"/>
      <c r="K4" s="64"/>
    </row>
    <row r="5" spans="1:11" s="37" customFormat="1" ht="12" x14ac:dyDescent="0.25">
      <c r="A5" s="46"/>
      <c r="B5" s="72" t="s">
        <v>14</v>
      </c>
      <c r="C5" s="4"/>
      <c r="D5" s="34"/>
      <c r="E5" s="91"/>
      <c r="F5" s="27"/>
      <c r="G5" s="34"/>
      <c r="H5" s="34"/>
      <c r="I5" s="35"/>
      <c r="J5" s="34"/>
      <c r="K5" s="36"/>
    </row>
    <row r="6" spans="1:11" s="37" customFormat="1" ht="12" x14ac:dyDescent="0.25">
      <c r="A6" s="46" t="s">
        <v>15</v>
      </c>
      <c r="B6" s="31" t="s">
        <v>18</v>
      </c>
      <c r="C6" s="4"/>
      <c r="D6" s="34"/>
      <c r="E6" s="91">
        <v>22140.83</v>
      </c>
      <c r="F6" s="27"/>
      <c r="G6" s="38"/>
      <c r="H6" s="34"/>
      <c r="I6" s="35"/>
      <c r="J6" s="34">
        <f>E6</f>
        <v>22140.83</v>
      </c>
      <c r="K6" s="36"/>
    </row>
    <row r="7" spans="1:11" s="37" customFormat="1" ht="12" x14ac:dyDescent="0.25">
      <c r="A7" s="46" t="s">
        <v>15</v>
      </c>
      <c r="B7" s="31" t="s">
        <v>200</v>
      </c>
      <c r="C7" s="4"/>
      <c r="D7" s="34"/>
      <c r="E7" s="91">
        <v>827859.17</v>
      </c>
      <c r="F7" s="27"/>
      <c r="G7" s="38"/>
      <c r="H7" s="34"/>
      <c r="I7" s="35"/>
      <c r="J7" s="34">
        <f t="shared" ref="J7:J8" si="0">E7</f>
        <v>827859.17</v>
      </c>
      <c r="K7" s="36"/>
    </row>
    <row r="8" spans="1:11" s="37" customFormat="1" ht="12" x14ac:dyDescent="0.25">
      <c r="A8" s="46" t="s">
        <v>15</v>
      </c>
      <c r="B8" s="31" t="s">
        <v>201</v>
      </c>
      <c r="C8" s="4"/>
      <c r="D8" s="34"/>
      <c r="E8" s="91">
        <v>5819.4</v>
      </c>
      <c r="F8" s="27"/>
      <c r="G8" s="38"/>
      <c r="H8" s="34"/>
      <c r="I8" s="35"/>
      <c r="J8" s="34">
        <f t="shared" si="0"/>
        <v>5819.4</v>
      </c>
      <c r="K8" s="36"/>
    </row>
    <row r="9" spans="1:11" s="82" customFormat="1" ht="12" x14ac:dyDescent="0.25">
      <c r="A9" s="70"/>
      <c r="B9" s="77" t="s">
        <v>16</v>
      </c>
      <c r="C9" s="13"/>
      <c r="D9" s="39"/>
      <c r="E9" s="92">
        <f>SUM(E6:E8)</f>
        <v>855819.4</v>
      </c>
      <c r="F9" s="28"/>
      <c r="G9" s="81"/>
      <c r="H9" s="39"/>
      <c r="I9" s="40"/>
      <c r="J9" s="39">
        <f>SUM(J6:J8)</f>
        <v>855819.4</v>
      </c>
      <c r="K9" s="41"/>
    </row>
    <row r="10" spans="1:11" s="37" customFormat="1" ht="12" x14ac:dyDescent="0.25">
      <c r="A10" s="46"/>
      <c r="B10" s="31"/>
      <c r="C10" s="4"/>
      <c r="D10" s="7"/>
      <c r="E10" s="91"/>
      <c r="F10" s="27"/>
      <c r="G10" s="38"/>
      <c r="H10" s="34"/>
      <c r="I10" s="35"/>
      <c r="J10" s="34"/>
      <c r="K10" s="36"/>
    </row>
    <row r="11" spans="1:11" s="37" customFormat="1" ht="12" x14ac:dyDescent="0.25">
      <c r="A11" s="46"/>
      <c r="B11" s="72" t="s">
        <v>13</v>
      </c>
      <c r="C11" s="4"/>
      <c r="D11" s="87"/>
      <c r="E11" s="91"/>
      <c r="F11" s="27"/>
      <c r="G11" s="38"/>
      <c r="H11" s="34"/>
      <c r="I11" s="35"/>
      <c r="J11" s="34"/>
      <c r="K11" s="36"/>
    </row>
    <row r="12" spans="1:11" s="37" customFormat="1" ht="12" x14ac:dyDescent="0.25">
      <c r="A12" s="46" t="s">
        <v>15</v>
      </c>
      <c r="B12" s="31" t="s">
        <v>200</v>
      </c>
      <c r="C12" s="4"/>
      <c r="D12" s="87">
        <v>508630.96</v>
      </c>
      <c r="E12" s="146"/>
      <c r="F12" s="27"/>
      <c r="G12" s="126"/>
      <c r="H12" s="34"/>
      <c r="I12" s="35"/>
      <c r="J12" s="34"/>
      <c r="K12" s="36"/>
    </row>
    <row r="13" spans="1:11" s="14" customFormat="1" ht="12" x14ac:dyDescent="0.25">
      <c r="A13" s="83" t="s">
        <v>15</v>
      </c>
      <c r="B13" s="31" t="s">
        <v>17</v>
      </c>
      <c r="C13" s="13"/>
      <c r="D13" s="87">
        <v>930977.65</v>
      </c>
      <c r="E13" s="125"/>
      <c r="F13" s="77"/>
      <c r="G13" s="80"/>
      <c r="H13" s="77"/>
      <c r="I13" s="79"/>
      <c r="J13" s="12"/>
      <c r="K13" s="41"/>
    </row>
    <row r="14" spans="1:11" s="14" customFormat="1" ht="12" x14ac:dyDescent="0.25">
      <c r="A14" s="83" t="s">
        <v>15</v>
      </c>
      <c r="B14" s="19" t="s">
        <v>20</v>
      </c>
      <c r="C14" s="4"/>
      <c r="D14" s="87">
        <v>-11465.6</v>
      </c>
      <c r="E14" s="147"/>
      <c r="F14" s="77"/>
      <c r="G14" s="80"/>
      <c r="H14" s="77"/>
      <c r="I14" s="79"/>
      <c r="J14" s="12"/>
      <c r="K14" s="41"/>
    </row>
    <row r="15" spans="1:11" s="14" customFormat="1" ht="12" x14ac:dyDescent="0.25">
      <c r="A15" s="83" t="s">
        <v>15</v>
      </c>
      <c r="B15" s="5" t="s">
        <v>20</v>
      </c>
      <c r="C15" s="4"/>
      <c r="D15" s="87">
        <v>-2080</v>
      </c>
      <c r="E15" s="147">
        <f>D13+D14+D15+D12</f>
        <v>1426063.01</v>
      </c>
      <c r="F15" s="76">
        <v>0.03</v>
      </c>
      <c r="G15" s="85">
        <f>E15*F15</f>
        <v>42781.890299999999</v>
      </c>
      <c r="H15" s="77"/>
      <c r="I15" s="84">
        <f>53406.22+96564.4-687.92-62.4+G15</f>
        <v>192002.19029999999</v>
      </c>
      <c r="J15" s="12"/>
      <c r="K15" s="36">
        <f>E15-I15</f>
        <v>1234060.8197000001</v>
      </c>
    </row>
    <row r="16" spans="1:11" s="30" customFormat="1" ht="12" x14ac:dyDescent="0.25">
      <c r="A16" s="17" t="s">
        <v>15</v>
      </c>
      <c r="B16" s="5" t="s">
        <v>19</v>
      </c>
      <c r="C16" s="17"/>
      <c r="D16" s="7"/>
      <c r="E16" s="148">
        <v>3448.5</v>
      </c>
      <c r="F16" s="76">
        <v>0.03</v>
      </c>
      <c r="G16" s="85">
        <f t="shared" ref="G16:G17" si="1">E16*F16</f>
        <v>103.455</v>
      </c>
      <c r="H16" s="5"/>
      <c r="I16" s="86">
        <f>103.46+G16</f>
        <v>206.91499999999999</v>
      </c>
      <c r="J16" s="5"/>
      <c r="K16" s="36">
        <f t="shared" ref="K16:K17" si="2">E16-I16</f>
        <v>3241.585</v>
      </c>
    </row>
    <row r="17" spans="1:13" s="3" customFormat="1" ht="12" x14ac:dyDescent="0.25">
      <c r="A17" s="17" t="s">
        <v>15</v>
      </c>
      <c r="B17" s="5" t="s">
        <v>19</v>
      </c>
      <c r="C17" s="17"/>
      <c r="D17" s="7"/>
      <c r="E17" s="148">
        <v>2867</v>
      </c>
      <c r="F17" s="76">
        <v>0.03</v>
      </c>
      <c r="G17" s="85">
        <f t="shared" si="1"/>
        <v>86.009999999999991</v>
      </c>
      <c r="H17" s="5"/>
      <c r="I17" s="86">
        <f>86.02+G17</f>
        <v>172.02999999999997</v>
      </c>
      <c r="J17" s="5"/>
      <c r="K17" s="36">
        <f t="shared" si="2"/>
        <v>2694.9700000000003</v>
      </c>
    </row>
    <row r="18" spans="1:13" s="14" customFormat="1" ht="12" x14ac:dyDescent="0.25">
      <c r="A18" s="70"/>
      <c r="B18" s="77" t="s">
        <v>16</v>
      </c>
      <c r="C18" s="13"/>
      <c r="D18" s="15"/>
      <c r="E18" s="149">
        <f>SUM(E15:E17)</f>
        <v>1432378.51</v>
      </c>
      <c r="F18" s="24"/>
      <c r="G18" s="24">
        <f>SUM(G15:G17)</f>
        <v>42971.355300000003</v>
      </c>
      <c r="H18" s="24"/>
      <c r="I18" s="24">
        <f>SUM(I15:I17)</f>
        <v>192381.13529999999</v>
      </c>
      <c r="J18" s="24"/>
      <c r="K18" s="24">
        <f>SUM(K15:K17)</f>
        <v>1239997.3747</v>
      </c>
      <c r="M18" s="69"/>
    </row>
    <row r="19" spans="1:13" s="3" customFormat="1" ht="12" x14ac:dyDescent="0.25">
      <c r="A19" s="46"/>
      <c r="B19" s="5"/>
      <c r="C19" s="4"/>
      <c r="D19" s="7"/>
      <c r="E19" s="104"/>
      <c r="F19" s="75"/>
      <c r="G19" s="25"/>
      <c r="H19" s="20"/>
      <c r="I19" s="20"/>
      <c r="J19" s="47"/>
      <c r="K19" s="25"/>
    </row>
    <row r="20" spans="1:13" s="3" customFormat="1" ht="12" x14ac:dyDescent="0.25">
      <c r="A20" s="46"/>
      <c r="B20" s="12" t="s">
        <v>21</v>
      </c>
      <c r="C20" s="7"/>
      <c r="D20" s="7"/>
      <c r="E20" s="104"/>
      <c r="F20" s="75"/>
      <c r="G20" s="25"/>
      <c r="H20" s="20"/>
      <c r="I20" s="20"/>
      <c r="J20" s="20"/>
      <c r="K20" s="25"/>
    </row>
    <row r="21" spans="1:13" s="3" customFormat="1" x14ac:dyDescent="0.25">
      <c r="A21" s="46" t="s">
        <v>15</v>
      </c>
      <c r="B21" s="5" t="s">
        <v>277</v>
      </c>
      <c r="C21" s="7"/>
      <c r="D21" s="7"/>
      <c r="E21" s="103">
        <v>747.61</v>
      </c>
      <c r="F21" s="75"/>
      <c r="G21" s="25"/>
      <c r="H21" s="20"/>
      <c r="I21" s="20">
        <v>747.61</v>
      </c>
      <c r="J21" s="73"/>
      <c r="K21" s="25">
        <f>E21-I21</f>
        <v>0</v>
      </c>
    </row>
    <row r="22" spans="1:13" s="125" customFormat="1" x14ac:dyDescent="0.25">
      <c r="A22" s="117" t="s">
        <v>15</v>
      </c>
      <c r="B22" s="118" t="s">
        <v>22</v>
      </c>
      <c r="C22" s="119"/>
      <c r="D22" s="119"/>
      <c r="E22" s="120">
        <v>2040</v>
      </c>
      <c r="F22" s="121">
        <v>0.1</v>
      </c>
      <c r="G22" s="122">
        <v>0</v>
      </c>
      <c r="H22" s="123"/>
      <c r="I22" s="102">
        <f>2142</f>
        <v>2142</v>
      </c>
      <c r="J22" s="124"/>
      <c r="K22" s="122">
        <f t="shared" ref="K22:K46" si="3">E22-I22</f>
        <v>-102</v>
      </c>
    </row>
    <row r="23" spans="1:13" s="14" customFormat="1" ht="12" x14ac:dyDescent="0.25">
      <c r="A23" s="17" t="s">
        <v>15</v>
      </c>
      <c r="B23" s="31" t="s">
        <v>23</v>
      </c>
      <c r="C23" s="7"/>
      <c r="D23" s="7"/>
      <c r="E23" s="120">
        <v>2400</v>
      </c>
      <c r="F23" s="75">
        <v>0.1</v>
      </c>
      <c r="G23" s="25">
        <v>120</v>
      </c>
      <c r="H23" s="20"/>
      <c r="I23" s="20">
        <f>2280+G23</f>
        <v>2400</v>
      </c>
      <c r="J23" s="35"/>
      <c r="K23" s="25">
        <f t="shared" si="3"/>
        <v>0</v>
      </c>
    </row>
    <row r="24" spans="1:13" s="3" customFormat="1" ht="12" x14ac:dyDescent="0.25">
      <c r="A24" s="17" t="s">
        <v>15</v>
      </c>
      <c r="B24" s="31" t="s">
        <v>24</v>
      </c>
      <c r="C24" s="7"/>
      <c r="D24" s="7"/>
      <c r="E24" s="120">
        <v>1224</v>
      </c>
      <c r="F24" s="75">
        <v>0.1</v>
      </c>
      <c r="G24" s="25">
        <v>61.2</v>
      </c>
      <c r="H24" s="20"/>
      <c r="I24" s="20">
        <f>1162.8+G24</f>
        <v>1224</v>
      </c>
      <c r="J24" s="35"/>
      <c r="K24" s="25">
        <f t="shared" si="3"/>
        <v>0</v>
      </c>
    </row>
    <row r="25" spans="1:13" s="3" customFormat="1" ht="12" x14ac:dyDescent="0.25">
      <c r="A25" s="17" t="s">
        <v>15</v>
      </c>
      <c r="B25" s="31" t="s">
        <v>26</v>
      </c>
      <c r="C25" s="18"/>
      <c r="D25" s="18"/>
      <c r="E25" s="120">
        <v>21948.84</v>
      </c>
      <c r="F25" s="75">
        <v>0.1</v>
      </c>
      <c r="G25" s="25">
        <v>1097.44</v>
      </c>
      <c r="H25" s="20"/>
      <c r="I25" s="20">
        <f>20851.4+G25</f>
        <v>21948.84</v>
      </c>
      <c r="J25" s="47"/>
      <c r="K25" s="25">
        <f t="shared" si="3"/>
        <v>0</v>
      </c>
    </row>
    <row r="26" spans="1:13" s="3" customFormat="1" ht="12" x14ac:dyDescent="0.25">
      <c r="A26" s="17" t="s">
        <v>15</v>
      </c>
      <c r="B26" s="31" t="s">
        <v>27</v>
      </c>
      <c r="C26" s="7"/>
      <c r="D26" s="7"/>
      <c r="E26" s="120">
        <v>40800</v>
      </c>
      <c r="F26" s="75">
        <v>0.1</v>
      </c>
      <c r="G26" s="25">
        <v>2040</v>
      </c>
      <c r="H26" s="20"/>
      <c r="I26" s="20">
        <f>38760+G26</f>
        <v>40800</v>
      </c>
      <c r="J26" s="20"/>
      <c r="K26" s="25">
        <f t="shared" si="3"/>
        <v>0</v>
      </c>
    </row>
    <row r="27" spans="1:13" s="3" customFormat="1" x14ac:dyDescent="0.25">
      <c r="A27" s="17" t="s">
        <v>15</v>
      </c>
      <c r="B27" s="31" t="s">
        <v>28</v>
      </c>
      <c r="C27" s="20"/>
      <c r="D27" s="20"/>
      <c r="E27" s="120">
        <v>16800</v>
      </c>
      <c r="F27" s="75">
        <v>0.1</v>
      </c>
      <c r="G27" s="25">
        <v>840</v>
      </c>
      <c r="H27" s="20"/>
      <c r="I27" s="20">
        <f>15960+840</f>
        <v>16800</v>
      </c>
      <c r="J27" s="73"/>
      <c r="K27" s="25">
        <f t="shared" si="3"/>
        <v>0</v>
      </c>
    </row>
    <row r="28" spans="1:13" s="3" customFormat="1" x14ac:dyDescent="0.25">
      <c r="A28" s="17" t="s">
        <v>15</v>
      </c>
      <c r="B28" s="31" t="s">
        <v>25</v>
      </c>
      <c r="C28" s="20"/>
      <c r="D28" s="20"/>
      <c r="E28" s="120">
        <v>2708.09</v>
      </c>
      <c r="F28" s="75">
        <v>0.1</v>
      </c>
      <c r="G28" s="25">
        <v>135.4</v>
      </c>
      <c r="H28" s="20"/>
      <c r="I28" s="20">
        <f>2572.69+135.4</f>
        <v>2708.09</v>
      </c>
      <c r="J28" s="73"/>
      <c r="K28" s="25">
        <f t="shared" si="3"/>
        <v>0</v>
      </c>
    </row>
    <row r="29" spans="1:13" s="3" customFormat="1" ht="12" x14ac:dyDescent="0.25">
      <c r="A29" s="17" t="s">
        <v>15</v>
      </c>
      <c r="B29" s="31" t="s">
        <v>29</v>
      </c>
      <c r="C29" s="20"/>
      <c r="D29" s="20"/>
      <c r="E29" s="120">
        <v>3916.08</v>
      </c>
      <c r="F29" s="75">
        <v>0.1</v>
      </c>
      <c r="G29" s="25">
        <v>195.79</v>
      </c>
      <c r="H29" s="20"/>
      <c r="I29" s="20">
        <f>3720.29+G29</f>
        <v>3916.08</v>
      </c>
      <c r="J29" s="35"/>
      <c r="K29" s="25">
        <f t="shared" si="3"/>
        <v>0</v>
      </c>
    </row>
    <row r="30" spans="1:13" s="3" customFormat="1" ht="12" x14ac:dyDescent="0.25">
      <c r="A30" s="17" t="s">
        <v>15</v>
      </c>
      <c r="B30" s="31" t="s">
        <v>30</v>
      </c>
      <c r="C30" s="20"/>
      <c r="D30" s="20"/>
      <c r="E30" s="120">
        <v>2523.8000000000002</v>
      </c>
      <c r="F30" s="75">
        <v>0.1</v>
      </c>
      <c r="G30" s="25">
        <v>126.19</v>
      </c>
      <c r="H30" s="20"/>
      <c r="I30" s="20">
        <f>2397.61+126.19</f>
        <v>2523.8000000000002</v>
      </c>
      <c r="J30" s="35"/>
      <c r="K30" s="25">
        <f t="shared" si="3"/>
        <v>0</v>
      </c>
    </row>
    <row r="31" spans="1:13" s="14" customFormat="1" ht="12" x14ac:dyDescent="0.25">
      <c r="A31" s="17" t="s">
        <v>15</v>
      </c>
      <c r="B31" s="31" t="s">
        <v>31</v>
      </c>
      <c r="C31" s="20"/>
      <c r="D31" s="20"/>
      <c r="E31" s="120">
        <v>12216.94</v>
      </c>
      <c r="F31" s="75">
        <v>0.1</v>
      </c>
      <c r="G31" s="25">
        <v>610.87</v>
      </c>
      <c r="H31" s="20"/>
      <c r="I31" s="20">
        <f>11606.07+G31</f>
        <v>12216.94</v>
      </c>
      <c r="J31" s="47"/>
      <c r="K31" s="25">
        <f t="shared" si="3"/>
        <v>0</v>
      </c>
    </row>
    <row r="32" spans="1:13" s="3" customFormat="1" ht="12" x14ac:dyDescent="0.25">
      <c r="A32" s="17" t="s">
        <v>15</v>
      </c>
      <c r="B32" s="31" t="s">
        <v>32</v>
      </c>
      <c r="C32" s="20"/>
      <c r="D32" s="20"/>
      <c r="E32" s="120">
        <v>735.6</v>
      </c>
      <c r="F32" s="75">
        <v>0.1</v>
      </c>
      <c r="G32" s="25">
        <v>36.78</v>
      </c>
      <c r="H32" s="20"/>
      <c r="I32" s="20">
        <f>698.82+G32</f>
        <v>735.6</v>
      </c>
      <c r="J32" s="20"/>
      <c r="K32" s="25">
        <f t="shared" si="3"/>
        <v>0</v>
      </c>
    </row>
    <row r="33" spans="1:16" s="3" customFormat="1" x14ac:dyDescent="0.25">
      <c r="A33" s="17" t="s">
        <v>15</v>
      </c>
      <c r="B33" s="31" t="s">
        <v>33</v>
      </c>
      <c r="C33" s="20"/>
      <c r="D33" s="20"/>
      <c r="E33" s="120">
        <v>4200</v>
      </c>
      <c r="F33" s="75">
        <v>0.1</v>
      </c>
      <c r="G33" s="25">
        <v>210</v>
      </c>
      <c r="H33" s="20"/>
      <c r="I33" s="20">
        <f>3990+210</f>
        <v>4200</v>
      </c>
      <c r="J33" s="73"/>
      <c r="K33" s="25">
        <f t="shared" si="3"/>
        <v>0</v>
      </c>
    </row>
    <row r="34" spans="1:16" s="3" customFormat="1" ht="12" x14ac:dyDescent="0.25">
      <c r="A34" s="17" t="s">
        <v>15</v>
      </c>
      <c r="B34" s="31" t="s">
        <v>34</v>
      </c>
      <c r="C34" s="20"/>
      <c r="D34" s="20">
        <v>2920.94</v>
      </c>
      <c r="E34" s="120"/>
      <c r="F34" s="75"/>
      <c r="G34" s="25"/>
      <c r="H34" s="20"/>
      <c r="I34" s="20"/>
      <c r="J34" s="47"/>
      <c r="K34" s="25">
        <f t="shared" si="3"/>
        <v>0</v>
      </c>
    </row>
    <row r="35" spans="1:16" s="3" customFormat="1" ht="12" x14ac:dyDescent="0.25">
      <c r="A35" s="17" t="s">
        <v>15</v>
      </c>
      <c r="B35" s="31" t="s">
        <v>20</v>
      </c>
      <c r="C35" s="20"/>
      <c r="D35" s="20">
        <v>-2003.2</v>
      </c>
      <c r="E35" s="120">
        <f>D34+D35</f>
        <v>917.74</v>
      </c>
      <c r="F35" s="75">
        <v>0.1</v>
      </c>
      <c r="G35" s="25">
        <f t="shared" ref="G35:G46" si="4">E35*F35</f>
        <v>91.774000000000001</v>
      </c>
      <c r="H35" s="20"/>
      <c r="I35" s="20">
        <f>1022.32-701.12+G35</f>
        <v>412.97400000000005</v>
      </c>
      <c r="J35" s="47"/>
      <c r="K35" s="25">
        <f t="shared" si="3"/>
        <v>504.76599999999996</v>
      </c>
    </row>
    <row r="36" spans="1:16" s="3" customFormat="1" ht="12" x14ac:dyDescent="0.25">
      <c r="A36" s="17" t="s">
        <v>15</v>
      </c>
      <c r="B36" s="31" t="s">
        <v>35</v>
      </c>
      <c r="C36" s="20"/>
      <c r="D36" s="20"/>
      <c r="E36" s="120">
        <v>3138.74</v>
      </c>
      <c r="F36" s="75">
        <v>0.1</v>
      </c>
      <c r="G36" s="25">
        <f t="shared" si="4"/>
        <v>313.87400000000002</v>
      </c>
      <c r="H36" s="20"/>
      <c r="I36" s="20">
        <f>1098.55+G36</f>
        <v>1412.424</v>
      </c>
      <c r="J36" s="47"/>
      <c r="K36" s="25">
        <f t="shared" si="3"/>
        <v>1726.3159999999998</v>
      </c>
    </row>
    <row r="37" spans="1:16" s="3" customFormat="1" ht="12" x14ac:dyDescent="0.25">
      <c r="A37" s="17" t="s">
        <v>15</v>
      </c>
      <c r="B37" s="31" t="s">
        <v>36</v>
      </c>
      <c r="C37" s="20"/>
      <c r="D37" s="20">
        <v>49610</v>
      </c>
      <c r="E37" s="120"/>
      <c r="F37" s="75"/>
      <c r="G37" s="25"/>
      <c r="H37" s="20"/>
      <c r="I37" s="20"/>
      <c r="J37" s="47"/>
      <c r="K37" s="25">
        <f t="shared" si="3"/>
        <v>0</v>
      </c>
    </row>
    <row r="38" spans="1:16" s="3" customFormat="1" ht="12" x14ac:dyDescent="0.25">
      <c r="A38" s="17" t="s">
        <v>15</v>
      </c>
      <c r="B38" s="31" t="s">
        <v>20</v>
      </c>
      <c r="C38" s="20"/>
      <c r="D38" s="20">
        <v>-33812</v>
      </c>
      <c r="E38" s="120">
        <f>D37+D38</f>
        <v>15798</v>
      </c>
      <c r="F38" s="75">
        <v>0.1</v>
      </c>
      <c r="G38" s="25">
        <f t="shared" si="4"/>
        <v>1579.8000000000002</v>
      </c>
      <c r="H38" s="20"/>
      <c r="I38" s="20">
        <f>12402.5-8453+G38</f>
        <v>5529.3</v>
      </c>
      <c r="J38" s="47"/>
      <c r="K38" s="25">
        <f t="shared" si="3"/>
        <v>10268.700000000001</v>
      </c>
    </row>
    <row r="39" spans="1:16" s="3" customFormat="1" ht="12" x14ac:dyDescent="0.25">
      <c r="A39" s="17" t="s">
        <v>15</v>
      </c>
      <c r="B39" s="5" t="s">
        <v>37</v>
      </c>
      <c r="C39" s="20"/>
      <c r="D39" s="20"/>
      <c r="E39" s="120">
        <v>1132.56</v>
      </c>
      <c r="F39" s="75">
        <v>0.1</v>
      </c>
      <c r="G39" s="25">
        <f t="shared" si="4"/>
        <v>113.256</v>
      </c>
      <c r="H39" s="20"/>
      <c r="I39" s="20">
        <f>283.15+G39</f>
        <v>396.40599999999995</v>
      </c>
      <c r="J39" s="20"/>
      <c r="K39" s="25">
        <f t="shared" si="3"/>
        <v>736.154</v>
      </c>
    </row>
    <row r="40" spans="1:16" s="3" customFormat="1" x14ac:dyDescent="0.25">
      <c r="A40" s="17" t="s">
        <v>15</v>
      </c>
      <c r="B40" s="5" t="s">
        <v>38</v>
      </c>
      <c r="C40" s="20"/>
      <c r="D40" s="20"/>
      <c r="E40" s="120">
        <v>2516.8000000000002</v>
      </c>
      <c r="F40" s="75">
        <v>0.1</v>
      </c>
      <c r="G40" s="25">
        <f t="shared" si="4"/>
        <v>251.68000000000004</v>
      </c>
      <c r="H40" s="20"/>
      <c r="I40" s="20">
        <f>629.2+G40</f>
        <v>880.88000000000011</v>
      </c>
      <c r="J40" s="73"/>
      <c r="K40" s="25">
        <f t="shared" si="3"/>
        <v>1635.92</v>
      </c>
      <c r="O40" s="67"/>
      <c r="P40" s="68"/>
    </row>
    <row r="41" spans="1:16" s="14" customFormat="1" x14ac:dyDescent="0.25">
      <c r="A41" s="17" t="s">
        <v>15</v>
      </c>
      <c r="B41" s="31" t="s">
        <v>39</v>
      </c>
      <c r="C41" s="20"/>
      <c r="D41" s="22"/>
      <c r="E41" s="120">
        <v>52671.3</v>
      </c>
      <c r="F41" s="75">
        <v>0.1</v>
      </c>
      <c r="G41" s="25">
        <f t="shared" si="4"/>
        <v>5267.130000000001</v>
      </c>
      <c r="H41" s="20"/>
      <c r="I41" s="21">
        <f>13167.83+G41</f>
        <v>18434.96</v>
      </c>
      <c r="J41" s="73"/>
      <c r="K41" s="25">
        <f t="shared" si="3"/>
        <v>34236.340000000004</v>
      </c>
      <c r="O41" s="71"/>
      <c r="P41" s="69"/>
    </row>
    <row r="42" spans="1:16" s="3" customFormat="1" ht="12" x14ac:dyDescent="0.25">
      <c r="A42" s="17" t="s">
        <v>15</v>
      </c>
      <c r="B42" s="31" t="s">
        <v>40</v>
      </c>
      <c r="C42" s="20"/>
      <c r="D42" s="35"/>
      <c r="E42" s="150">
        <v>2791.36</v>
      </c>
      <c r="F42" s="75">
        <v>0.1</v>
      </c>
      <c r="G42" s="25">
        <f t="shared" si="4"/>
        <v>279.13600000000002</v>
      </c>
      <c r="H42" s="35"/>
      <c r="I42" s="34">
        <f>697.85+G42</f>
        <v>976.9860000000001</v>
      </c>
      <c r="J42" s="35"/>
      <c r="K42" s="25">
        <f t="shared" si="3"/>
        <v>1814.374</v>
      </c>
      <c r="O42" s="67"/>
      <c r="P42" s="68"/>
    </row>
    <row r="43" spans="1:16" s="3" customFormat="1" ht="12" x14ac:dyDescent="0.25">
      <c r="A43" s="17" t="s">
        <v>15</v>
      </c>
      <c r="B43" s="31" t="s">
        <v>41</v>
      </c>
      <c r="C43" s="20"/>
      <c r="D43" s="34">
        <v>4440.8</v>
      </c>
      <c r="E43" s="150"/>
      <c r="F43" s="75"/>
      <c r="G43" s="25"/>
      <c r="H43" s="35"/>
      <c r="I43" s="34"/>
      <c r="J43" s="35"/>
      <c r="K43" s="25">
        <f t="shared" si="3"/>
        <v>0</v>
      </c>
      <c r="O43" s="67"/>
      <c r="P43" s="68"/>
    </row>
    <row r="44" spans="1:16" s="3" customFormat="1" ht="12" x14ac:dyDescent="0.25">
      <c r="A44" s="17" t="s">
        <v>15</v>
      </c>
      <c r="B44" s="31" t="s">
        <v>20</v>
      </c>
      <c r="C44" s="20"/>
      <c r="D44" s="34">
        <v>-4347.2</v>
      </c>
      <c r="E44" s="150">
        <f>D43+D44</f>
        <v>93.600000000000364</v>
      </c>
      <c r="F44" s="75">
        <v>0.1</v>
      </c>
      <c r="G44" s="25">
        <f t="shared" si="4"/>
        <v>9.3600000000000367</v>
      </c>
      <c r="H44" s="35"/>
      <c r="I44" s="34">
        <f>1110.2-1086.8+G44</f>
        <v>32.760000000000126</v>
      </c>
      <c r="J44" s="35"/>
      <c r="K44" s="25">
        <f t="shared" si="3"/>
        <v>60.840000000000238</v>
      </c>
      <c r="O44" s="67"/>
      <c r="P44" s="68"/>
    </row>
    <row r="45" spans="1:16" s="3" customFormat="1" ht="12" x14ac:dyDescent="0.25">
      <c r="A45" s="17" t="s">
        <v>15</v>
      </c>
      <c r="B45" s="31" t="s">
        <v>42</v>
      </c>
      <c r="C45" s="20"/>
      <c r="D45" s="35"/>
      <c r="E45" s="150">
        <v>1078.48</v>
      </c>
      <c r="F45" s="75">
        <v>0.1</v>
      </c>
      <c r="G45" s="25">
        <f t="shared" si="4"/>
        <v>107.84800000000001</v>
      </c>
      <c r="H45" s="35"/>
      <c r="I45" s="34">
        <f>269.63+G45</f>
        <v>377.47800000000001</v>
      </c>
      <c r="J45" s="35"/>
      <c r="K45" s="25">
        <f t="shared" si="3"/>
        <v>701.00199999999995</v>
      </c>
      <c r="O45" s="67"/>
      <c r="P45" s="68"/>
    </row>
    <row r="46" spans="1:16" s="3" customFormat="1" ht="12" x14ac:dyDescent="0.25">
      <c r="A46" s="17" t="s">
        <v>15</v>
      </c>
      <c r="B46" s="31" t="s">
        <v>43</v>
      </c>
      <c r="C46" s="34"/>
      <c r="D46" s="35"/>
      <c r="E46" s="150">
        <v>1268.8</v>
      </c>
      <c r="F46" s="75">
        <v>0.1</v>
      </c>
      <c r="G46" s="25">
        <f t="shared" si="4"/>
        <v>126.88</v>
      </c>
      <c r="H46" s="35"/>
      <c r="I46" s="34">
        <f>381.64+G46</f>
        <v>508.52</v>
      </c>
      <c r="J46" s="35"/>
      <c r="K46" s="25">
        <f t="shared" si="3"/>
        <v>760.28</v>
      </c>
      <c r="O46" s="67"/>
      <c r="P46" s="68"/>
    </row>
    <row r="47" spans="1:16" s="14" customFormat="1" ht="12" x14ac:dyDescent="0.25">
      <c r="A47" s="88"/>
      <c r="B47" s="77" t="s">
        <v>16</v>
      </c>
      <c r="C47" s="15"/>
      <c r="D47" s="40"/>
      <c r="E47" s="151">
        <f>SUM(E21:E46)</f>
        <v>193668.33999999997</v>
      </c>
      <c r="F47" s="89"/>
      <c r="G47" s="23">
        <f>SUM(G22:G46)</f>
        <v>13614.408000000001</v>
      </c>
      <c r="H47" s="40"/>
      <c r="I47" s="39">
        <f>SUM(I21:I46)</f>
        <v>141325.64800000002</v>
      </c>
      <c r="J47" s="40"/>
      <c r="K47" s="23">
        <f>SUM(K21:K46)</f>
        <v>52342.69200000001</v>
      </c>
      <c r="M47" s="69"/>
      <c r="O47" s="71"/>
      <c r="P47" s="69"/>
    </row>
    <row r="48" spans="1:16" s="3" customFormat="1" ht="12" x14ac:dyDescent="0.25">
      <c r="A48" s="17"/>
      <c r="B48" s="31"/>
      <c r="C48" s="87"/>
      <c r="D48" s="35"/>
      <c r="E48" s="90"/>
      <c r="F48" s="76"/>
      <c r="G48" s="20"/>
      <c r="H48" s="35"/>
      <c r="I48" s="34"/>
      <c r="J48" s="35"/>
      <c r="K48" s="20"/>
      <c r="O48" s="67"/>
      <c r="P48" s="68"/>
    </row>
    <row r="49" spans="1:16" s="3" customFormat="1" ht="12" x14ac:dyDescent="0.25">
      <c r="A49" s="17"/>
      <c r="B49" s="72" t="s">
        <v>44</v>
      </c>
      <c r="C49" s="87"/>
      <c r="D49" s="35"/>
      <c r="E49" s="90"/>
      <c r="F49" s="76"/>
      <c r="G49" s="20"/>
      <c r="H49" s="35"/>
      <c r="I49" s="34"/>
      <c r="J49" s="35"/>
      <c r="K49" s="20"/>
      <c r="O49" s="67"/>
      <c r="P49" s="68"/>
    </row>
    <row r="50" spans="1:16" s="3" customFormat="1" ht="12" x14ac:dyDescent="0.25">
      <c r="A50" s="17" t="s">
        <v>15</v>
      </c>
      <c r="B50" s="31" t="s">
        <v>278</v>
      </c>
      <c r="C50" s="7"/>
      <c r="D50" s="35"/>
      <c r="E50" s="90">
        <v>1002349.97</v>
      </c>
      <c r="F50" s="76"/>
      <c r="G50" s="20"/>
      <c r="H50" s="35"/>
      <c r="I50" s="34">
        <v>1002349.97</v>
      </c>
      <c r="J50" s="35"/>
      <c r="K50" s="20">
        <f>E50-I50</f>
        <v>0</v>
      </c>
      <c r="O50" s="67"/>
      <c r="P50" s="68"/>
    </row>
    <row r="51" spans="1:16" s="128" customFormat="1" ht="12" x14ac:dyDescent="0.25">
      <c r="A51" s="117" t="s">
        <v>15</v>
      </c>
      <c r="B51" s="118" t="s">
        <v>342</v>
      </c>
      <c r="C51" s="127"/>
      <c r="D51" s="91"/>
      <c r="E51" s="90">
        <v>23425.119999999999</v>
      </c>
      <c r="F51" s="108"/>
      <c r="G51" s="102"/>
      <c r="H51" s="91"/>
      <c r="I51" s="90">
        <v>23893.59</v>
      </c>
      <c r="J51" s="91"/>
      <c r="K51" s="102">
        <f t="shared" ref="K51:K91" si="5">E51-I51</f>
        <v>-468.47000000000116</v>
      </c>
      <c r="O51" s="129"/>
      <c r="P51" s="130"/>
    </row>
    <row r="52" spans="1:16" s="128" customFormat="1" ht="12" x14ac:dyDescent="0.25">
      <c r="A52" s="117" t="s">
        <v>15</v>
      </c>
      <c r="B52" s="118" t="s">
        <v>341</v>
      </c>
      <c r="C52" s="127"/>
      <c r="D52" s="91"/>
      <c r="E52" s="90">
        <v>245.83</v>
      </c>
      <c r="F52" s="108"/>
      <c r="G52" s="102"/>
      <c r="H52" s="91"/>
      <c r="I52" s="90">
        <v>250.76</v>
      </c>
      <c r="J52" s="91"/>
      <c r="K52" s="102">
        <f t="shared" si="5"/>
        <v>-4.9299999999999784</v>
      </c>
      <c r="O52" s="129"/>
      <c r="P52" s="130"/>
    </row>
    <row r="53" spans="1:16" s="3" customFormat="1" ht="12" x14ac:dyDescent="0.25">
      <c r="A53" s="17" t="s">
        <v>15</v>
      </c>
      <c r="B53" s="31" t="s">
        <v>340</v>
      </c>
      <c r="C53" s="7"/>
      <c r="D53" s="35"/>
      <c r="E53" s="90">
        <v>2458.33</v>
      </c>
      <c r="F53" s="76"/>
      <c r="G53" s="20">
        <v>49.14</v>
      </c>
      <c r="H53" s="35"/>
      <c r="I53" s="34">
        <f>2409.19+G53</f>
        <v>2458.33</v>
      </c>
      <c r="J53" s="35"/>
      <c r="K53" s="20">
        <f t="shared" si="5"/>
        <v>0</v>
      </c>
      <c r="O53" s="67"/>
      <c r="P53" s="68"/>
    </row>
    <row r="54" spans="1:16" s="3" customFormat="1" ht="12" x14ac:dyDescent="0.25">
      <c r="A54" s="17" t="s">
        <v>15</v>
      </c>
      <c r="B54" s="31" t="s">
        <v>339</v>
      </c>
      <c r="C54" s="7"/>
      <c r="D54" s="35"/>
      <c r="E54" s="90">
        <v>1589.65</v>
      </c>
      <c r="F54" s="76"/>
      <c r="G54" s="20">
        <v>31.81</v>
      </c>
      <c r="H54" s="35"/>
      <c r="I54" s="34">
        <f>1557.84+G54</f>
        <v>1589.6499999999999</v>
      </c>
      <c r="J54" s="35"/>
      <c r="K54" s="20">
        <f t="shared" si="5"/>
        <v>0</v>
      </c>
      <c r="O54" s="67"/>
      <c r="P54" s="68"/>
    </row>
    <row r="55" spans="1:16" s="3" customFormat="1" ht="12" x14ac:dyDescent="0.25">
      <c r="A55" s="17" t="s">
        <v>15</v>
      </c>
      <c r="B55" s="31" t="s">
        <v>338</v>
      </c>
      <c r="C55" s="7"/>
      <c r="D55" s="35"/>
      <c r="E55" s="90">
        <v>619.75</v>
      </c>
      <c r="F55" s="76"/>
      <c r="G55" s="20">
        <v>12.38</v>
      </c>
      <c r="H55" s="35"/>
      <c r="I55" s="34">
        <f>607.37+G55</f>
        <v>619.75</v>
      </c>
      <c r="J55" s="35"/>
      <c r="K55" s="20">
        <f t="shared" si="5"/>
        <v>0</v>
      </c>
      <c r="O55" s="67"/>
      <c r="P55" s="68"/>
    </row>
    <row r="56" spans="1:16" s="3" customFormat="1" ht="12" x14ac:dyDescent="0.25">
      <c r="A56" s="17" t="s">
        <v>15</v>
      </c>
      <c r="B56" s="31" t="s">
        <v>45</v>
      </c>
      <c r="C56" s="7"/>
      <c r="D56" s="35"/>
      <c r="E56" s="90">
        <v>5626.69</v>
      </c>
      <c r="F56" s="76"/>
      <c r="G56" s="20">
        <v>112.56</v>
      </c>
      <c r="H56" s="35"/>
      <c r="I56" s="34">
        <f>5514.13+G56</f>
        <v>5626.6900000000005</v>
      </c>
      <c r="J56" s="35"/>
      <c r="K56" s="20">
        <f t="shared" si="5"/>
        <v>0</v>
      </c>
      <c r="O56" s="67"/>
      <c r="P56" s="68"/>
    </row>
    <row r="57" spans="1:16" s="3" customFormat="1" ht="12" x14ac:dyDescent="0.25">
      <c r="A57" s="17" t="s">
        <v>15</v>
      </c>
      <c r="B57" s="31" t="s">
        <v>337</v>
      </c>
      <c r="C57" s="7"/>
      <c r="D57" s="35"/>
      <c r="E57" s="90">
        <v>793.28</v>
      </c>
      <c r="F57" s="76"/>
      <c r="G57" s="20">
        <v>15.9</v>
      </c>
      <c r="H57" s="35"/>
      <c r="I57" s="34">
        <f>777.38+G57</f>
        <v>793.28</v>
      </c>
      <c r="J57" s="35"/>
      <c r="K57" s="20">
        <f t="shared" si="5"/>
        <v>0</v>
      </c>
      <c r="O57" s="67"/>
      <c r="P57" s="68"/>
    </row>
    <row r="58" spans="1:16" s="14" customFormat="1" ht="12" x14ac:dyDescent="0.25">
      <c r="A58" s="17" t="s">
        <v>15</v>
      </c>
      <c r="B58" s="31" t="s">
        <v>46</v>
      </c>
      <c r="C58" s="15"/>
      <c r="D58" s="40"/>
      <c r="E58" s="90">
        <v>10185.56</v>
      </c>
      <c r="F58" s="76"/>
      <c r="G58" s="20">
        <v>203.68</v>
      </c>
      <c r="H58" s="40"/>
      <c r="I58" s="34">
        <f>9981.88+G58</f>
        <v>10185.56</v>
      </c>
      <c r="J58" s="40"/>
      <c r="K58" s="20">
        <f t="shared" si="5"/>
        <v>0</v>
      </c>
      <c r="M58" s="69"/>
      <c r="O58" s="71"/>
      <c r="P58" s="69"/>
    </row>
    <row r="59" spans="1:16" s="3" customFormat="1" ht="12" x14ac:dyDescent="0.25">
      <c r="A59" s="17" t="s">
        <v>15</v>
      </c>
      <c r="B59" s="31" t="s">
        <v>291</v>
      </c>
      <c r="C59" s="7"/>
      <c r="D59" s="35"/>
      <c r="E59" s="90">
        <v>93303.1</v>
      </c>
      <c r="F59" s="76"/>
      <c r="G59" s="20">
        <v>1866.1</v>
      </c>
      <c r="H59" s="35"/>
      <c r="I59" s="34">
        <f>91437+G59</f>
        <v>93303.1</v>
      </c>
      <c r="J59" s="35"/>
      <c r="K59" s="20">
        <f t="shared" si="5"/>
        <v>0</v>
      </c>
      <c r="O59" s="67"/>
      <c r="P59" s="68"/>
    </row>
    <row r="60" spans="1:16" s="116" customFormat="1" ht="12" x14ac:dyDescent="0.25">
      <c r="A60" s="109" t="s">
        <v>15</v>
      </c>
      <c r="B60" s="158" t="s">
        <v>336</v>
      </c>
      <c r="C60" s="159"/>
      <c r="D60" s="160"/>
      <c r="E60" s="161">
        <v>11496.33</v>
      </c>
      <c r="F60" s="114"/>
      <c r="G60" s="112">
        <v>229.9</v>
      </c>
      <c r="H60" s="160"/>
      <c r="I60" s="162">
        <f>11266.43+G60</f>
        <v>11496.33</v>
      </c>
      <c r="J60" s="160"/>
      <c r="K60" s="112">
        <f t="shared" si="5"/>
        <v>0</v>
      </c>
      <c r="O60" s="163"/>
      <c r="P60" s="164"/>
    </row>
    <row r="61" spans="1:16" s="3" customFormat="1" ht="12" x14ac:dyDescent="0.25">
      <c r="A61" s="17" t="s">
        <v>15</v>
      </c>
      <c r="B61" s="31" t="s">
        <v>335</v>
      </c>
      <c r="C61" s="7"/>
      <c r="D61" s="35"/>
      <c r="E61" s="90">
        <v>2522.25</v>
      </c>
      <c r="F61" s="76"/>
      <c r="G61" s="20">
        <v>50.46</v>
      </c>
      <c r="H61" s="35"/>
      <c r="I61" s="34">
        <f>2471.79+G61</f>
        <v>2522.25</v>
      </c>
      <c r="J61" s="35"/>
      <c r="K61" s="20">
        <f t="shared" si="5"/>
        <v>0</v>
      </c>
      <c r="O61" s="67"/>
      <c r="P61" s="68"/>
    </row>
    <row r="62" spans="1:16" s="3" customFormat="1" ht="12" x14ac:dyDescent="0.25">
      <c r="A62" s="17" t="s">
        <v>15</v>
      </c>
      <c r="B62" s="31" t="s">
        <v>334</v>
      </c>
      <c r="C62" s="7"/>
      <c r="D62" s="35"/>
      <c r="E62" s="90">
        <v>29747.919999999998</v>
      </c>
      <c r="F62" s="76"/>
      <c r="G62" s="20">
        <v>594.91999999999996</v>
      </c>
      <c r="H62" s="35"/>
      <c r="I62" s="34">
        <f>29153+G62</f>
        <v>29747.919999999998</v>
      </c>
      <c r="J62" s="35"/>
      <c r="K62" s="20">
        <f t="shared" si="5"/>
        <v>0</v>
      </c>
      <c r="O62" s="67"/>
      <c r="P62" s="68"/>
    </row>
    <row r="63" spans="1:16" s="3" customFormat="1" ht="12" x14ac:dyDescent="0.25">
      <c r="A63" s="17" t="s">
        <v>15</v>
      </c>
      <c r="B63" s="31" t="s">
        <v>333</v>
      </c>
      <c r="C63" s="7"/>
      <c r="D63" s="91"/>
      <c r="E63" s="90">
        <v>16245.71</v>
      </c>
      <c r="F63" s="76"/>
      <c r="G63" s="20">
        <v>324.97000000000003</v>
      </c>
      <c r="H63" s="91"/>
      <c r="I63" s="90">
        <f>15920.74+G63</f>
        <v>16245.71</v>
      </c>
      <c r="J63" s="35"/>
      <c r="K63" s="20">
        <f t="shared" si="5"/>
        <v>0</v>
      </c>
      <c r="O63" s="67"/>
      <c r="P63" s="68"/>
    </row>
    <row r="64" spans="1:16" s="3" customFormat="1" ht="12" x14ac:dyDescent="0.25">
      <c r="A64" s="17" t="s">
        <v>15</v>
      </c>
      <c r="B64" s="31" t="s">
        <v>47</v>
      </c>
      <c r="C64" s="7"/>
      <c r="D64" s="91"/>
      <c r="E64" s="90">
        <v>47316.94</v>
      </c>
      <c r="F64" s="76"/>
      <c r="G64" s="20">
        <v>946.33</v>
      </c>
      <c r="H64" s="91"/>
      <c r="I64" s="90">
        <f>46370.61+G64</f>
        <v>47316.94</v>
      </c>
      <c r="J64" s="35"/>
      <c r="K64" s="20">
        <f t="shared" si="5"/>
        <v>0</v>
      </c>
      <c r="O64" s="67"/>
      <c r="P64" s="68"/>
    </row>
    <row r="65" spans="1:16" s="3" customFormat="1" ht="12" x14ac:dyDescent="0.25">
      <c r="A65" s="17" t="s">
        <v>15</v>
      </c>
      <c r="B65" s="31" t="s">
        <v>332</v>
      </c>
      <c r="C65" s="7"/>
      <c r="D65" s="91"/>
      <c r="E65" s="90">
        <v>154.94</v>
      </c>
      <c r="F65" s="76"/>
      <c r="G65" s="20">
        <v>3.09</v>
      </c>
      <c r="H65" s="91"/>
      <c r="I65" s="90">
        <f>151.85+G65</f>
        <v>154.94</v>
      </c>
      <c r="J65" s="35"/>
      <c r="K65" s="20">
        <f t="shared" si="5"/>
        <v>0</v>
      </c>
      <c r="O65" s="67"/>
      <c r="P65" s="68"/>
    </row>
    <row r="66" spans="1:16" s="14" customFormat="1" ht="12" x14ac:dyDescent="0.25">
      <c r="A66" s="17" t="s">
        <v>15</v>
      </c>
      <c r="B66" s="31" t="s">
        <v>331</v>
      </c>
      <c r="C66" s="15"/>
      <c r="D66" s="92"/>
      <c r="E66" s="90">
        <v>1522.72</v>
      </c>
      <c r="F66" s="76"/>
      <c r="G66" s="20">
        <v>30.42</v>
      </c>
      <c r="H66" s="92"/>
      <c r="I66" s="90">
        <f>1492.3+G66</f>
        <v>1522.72</v>
      </c>
      <c r="J66" s="40"/>
      <c r="K66" s="20">
        <f t="shared" si="5"/>
        <v>0</v>
      </c>
      <c r="M66" s="69"/>
      <c r="O66" s="71"/>
      <c r="P66" s="69"/>
    </row>
    <row r="67" spans="1:16" s="3" customFormat="1" ht="12" x14ac:dyDescent="0.25">
      <c r="A67" s="17" t="s">
        <v>15</v>
      </c>
      <c r="B67" s="31" t="s">
        <v>330</v>
      </c>
      <c r="C67" s="7"/>
      <c r="D67" s="91"/>
      <c r="E67" s="90">
        <v>483403.66</v>
      </c>
      <c r="F67" s="76"/>
      <c r="G67" s="20">
        <v>48340.39</v>
      </c>
      <c r="H67" s="91"/>
      <c r="I67" s="90">
        <f>435063.27+G67</f>
        <v>483403.66000000003</v>
      </c>
      <c r="J67" s="35"/>
      <c r="K67" s="20">
        <f t="shared" si="5"/>
        <v>0</v>
      </c>
      <c r="O67" s="67"/>
      <c r="P67" s="68"/>
    </row>
    <row r="68" spans="1:16" s="3" customFormat="1" ht="12" x14ac:dyDescent="0.25">
      <c r="A68" s="17" t="s">
        <v>15</v>
      </c>
      <c r="B68" s="31" t="s">
        <v>329</v>
      </c>
      <c r="C68" s="7"/>
      <c r="D68" s="91"/>
      <c r="E68" s="90">
        <v>40283.64</v>
      </c>
      <c r="F68" s="76"/>
      <c r="G68" s="20">
        <v>4028.39</v>
      </c>
      <c r="H68" s="91"/>
      <c r="I68" s="90">
        <f>36255.25+G68</f>
        <v>40283.64</v>
      </c>
      <c r="J68" s="35"/>
      <c r="K68" s="20">
        <f t="shared" si="5"/>
        <v>0</v>
      </c>
      <c r="O68" s="67"/>
      <c r="P68" s="68"/>
    </row>
    <row r="69" spans="1:16" s="3" customFormat="1" ht="12" x14ac:dyDescent="0.25">
      <c r="A69" s="17" t="s">
        <v>15</v>
      </c>
      <c r="B69" s="31" t="s">
        <v>328</v>
      </c>
      <c r="C69" s="7"/>
      <c r="D69" s="91"/>
      <c r="E69" s="90">
        <v>2642.29</v>
      </c>
      <c r="F69" s="76"/>
      <c r="G69" s="20">
        <v>264.26</v>
      </c>
      <c r="H69" s="91"/>
      <c r="I69" s="90">
        <f>2378.03+G69</f>
        <v>2642.29</v>
      </c>
      <c r="J69" s="35"/>
      <c r="K69" s="20">
        <f t="shared" si="5"/>
        <v>0</v>
      </c>
      <c r="O69" s="67"/>
      <c r="P69" s="68"/>
    </row>
    <row r="70" spans="1:16" s="3" customFormat="1" ht="12" x14ac:dyDescent="0.25">
      <c r="A70" s="17" t="s">
        <v>15</v>
      </c>
      <c r="B70" s="31" t="s">
        <v>48</v>
      </c>
      <c r="C70" s="7"/>
      <c r="D70" s="91"/>
      <c r="E70" s="90">
        <v>2442.85</v>
      </c>
      <c r="F70" s="76"/>
      <c r="G70" s="20">
        <v>244.3</v>
      </c>
      <c r="H70" s="91"/>
      <c r="I70" s="90">
        <f>2198.55+G70</f>
        <v>2442.8500000000004</v>
      </c>
      <c r="J70" s="35"/>
      <c r="K70" s="20">
        <f t="shared" si="5"/>
        <v>0</v>
      </c>
      <c r="O70" s="67"/>
      <c r="P70" s="68"/>
    </row>
    <row r="71" spans="1:16" s="3" customFormat="1" ht="12" x14ac:dyDescent="0.25">
      <c r="A71" s="17" t="s">
        <v>15</v>
      </c>
      <c r="B71" s="31" t="s">
        <v>49</v>
      </c>
      <c r="C71" s="7"/>
      <c r="D71" s="91"/>
      <c r="E71" s="90">
        <v>13576.21</v>
      </c>
      <c r="F71" s="76"/>
      <c r="G71" s="20">
        <v>1357.63</v>
      </c>
      <c r="H71" s="91"/>
      <c r="I71" s="90">
        <f>12218.58+G71</f>
        <v>13576.21</v>
      </c>
      <c r="J71" s="35"/>
      <c r="K71" s="20">
        <f t="shared" si="5"/>
        <v>0</v>
      </c>
      <c r="O71" s="67"/>
      <c r="P71" s="68"/>
    </row>
    <row r="72" spans="1:16" s="3" customFormat="1" ht="12" x14ac:dyDescent="0.25">
      <c r="A72" s="17" t="s">
        <v>15</v>
      </c>
      <c r="B72" s="31" t="s">
        <v>327</v>
      </c>
      <c r="C72" s="7"/>
      <c r="D72" s="91"/>
      <c r="E72" s="90">
        <v>64453.82</v>
      </c>
      <c r="F72" s="76"/>
      <c r="G72" s="20">
        <v>6445.39</v>
      </c>
      <c r="H72" s="91"/>
      <c r="I72" s="90">
        <f>58008.43+G72</f>
        <v>64453.82</v>
      </c>
      <c r="J72" s="35"/>
      <c r="K72" s="20">
        <f t="shared" si="5"/>
        <v>0</v>
      </c>
      <c r="O72" s="67"/>
      <c r="P72" s="68"/>
    </row>
    <row r="73" spans="1:16" s="3" customFormat="1" ht="12" x14ac:dyDescent="0.25">
      <c r="A73" s="17" t="s">
        <v>15</v>
      </c>
      <c r="B73" s="31" t="s">
        <v>326</v>
      </c>
      <c r="C73" s="7"/>
      <c r="D73" s="91"/>
      <c r="E73" s="90">
        <v>1469.74</v>
      </c>
      <c r="F73" s="76"/>
      <c r="G73" s="20">
        <v>146.96</v>
      </c>
      <c r="H73" s="91"/>
      <c r="I73" s="90">
        <f>1322.78+G73</f>
        <v>1469.74</v>
      </c>
      <c r="J73" s="35"/>
      <c r="K73" s="20">
        <f t="shared" si="5"/>
        <v>0</v>
      </c>
      <c r="O73" s="67"/>
      <c r="P73" s="68"/>
    </row>
    <row r="74" spans="1:16" s="3" customFormat="1" ht="12" x14ac:dyDescent="0.25">
      <c r="A74" s="17" t="s">
        <v>15</v>
      </c>
      <c r="B74" s="31" t="s">
        <v>324</v>
      </c>
      <c r="C74" s="7"/>
      <c r="D74" s="91"/>
      <c r="E74" s="90">
        <v>743.7</v>
      </c>
      <c r="F74" s="76"/>
      <c r="G74" s="20">
        <v>74.3</v>
      </c>
      <c r="H74" s="91"/>
      <c r="I74" s="90">
        <f>669.4+G74</f>
        <v>743.69999999999993</v>
      </c>
      <c r="J74" s="35"/>
      <c r="K74" s="20">
        <f t="shared" si="5"/>
        <v>0</v>
      </c>
      <c r="O74" s="67"/>
      <c r="P74" s="68"/>
    </row>
    <row r="75" spans="1:16" s="3" customFormat="1" ht="12" x14ac:dyDescent="0.25">
      <c r="A75" s="17" t="s">
        <v>15</v>
      </c>
      <c r="B75" s="31" t="s">
        <v>325</v>
      </c>
      <c r="C75" s="7"/>
      <c r="D75" s="91"/>
      <c r="E75" s="90">
        <v>1239.5</v>
      </c>
      <c r="F75" s="76"/>
      <c r="G75" s="20">
        <v>123.95</v>
      </c>
      <c r="H75" s="91"/>
      <c r="I75" s="90">
        <f>1115.55+G75</f>
        <v>1239.5</v>
      </c>
      <c r="J75" s="35"/>
      <c r="K75" s="20">
        <f t="shared" si="5"/>
        <v>0</v>
      </c>
    </row>
    <row r="76" spans="1:16" s="14" customFormat="1" ht="12" x14ac:dyDescent="0.25">
      <c r="A76" s="17" t="s">
        <v>15</v>
      </c>
      <c r="B76" s="31" t="s">
        <v>323</v>
      </c>
      <c r="C76" s="15"/>
      <c r="D76" s="24"/>
      <c r="E76" s="102">
        <v>37184.9</v>
      </c>
      <c r="F76" s="76"/>
      <c r="G76" s="20">
        <v>7132.12</v>
      </c>
      <c r="H76" s="20"/>
      <c r="I76" s="20">
        <f>30052.78+G76</f>
        <v>37184.9</v>
      </c>
      <c r="J76" s="23"/>
      <c r="K76" s="20">
        <f t="shared" si="5"/>
        <v>0</v>
      </c>
      <c r="O76" s="69"/>
    </row>
    <row r="77" spans="1:16" s="3" customFormat="1" ht="12" x14ac:dyDescent="0.25">
      <c r="A77" s="17" t="s">
        <v>15</v>
      </c>
      <c r="B77" s="5" t="s">
        <v>322</v>
      </c>
      <c r="C77" s="42"/>
      <c r="D77" s="43"/>
      <c r="E77" s="102">
        <v>11936.35</v>
      </c>
      <c r="F77" s="76"/>
      <c r="G77" s="20">
        <v>2289.36</v>
      </c>
      <c r="H77" s="45"/>
      <c r="I77" s="20">
        <f>9646.99+G77</f>
        <v>11936.35</v>
      </c>
      <c r="J77" s="44"/>
      <c r="K77" s="20">
        <f t="shared" si="5"/>
        <v>0</v>
      </c>
    </row>
    <row r="78" spans="1:16" s="33" customFormat="1" ht="12" x14ac:dyDescent="0.25">
      <c r="A78" s="17" t="s">
        <v>15</v>
      </c>
      <c r="B78" s="31" t="s">
        <v>314</v>
      </c>
      <c r="C78" s="4"/>
      <c r="D78" s="34"/>
      <c r="E78" s="152">
        <v>6352.42</v>
      </c>
      <c r="F78" s="76"/>
      <c r="G78" s="20">
        <v>1218.4100000000001</v>
      </c>
      <c r="H78" s="32"/>
      <c r="I78" s="35">
        <f>5134.01+G78</f>
        <v>6352.42</v>
      </c>
      <c r="J78" s="34"/>
      <c r="K78" s="20">
        <f t="shared" si="5"/>
        <v>0</v>
      </c>
    </row>
    <row r="79" spans="1:16" s="3" customFormat="1" ht="12" x14ac:dyDescent="0.25">
      <c r="A79" s="17" t="s">
        <v>15</v>
      </c>
      <c r="B79" s="31" t="s">
        <v>321</v>
      </c>
      <c r="C79" s="4"/>
      <c r="D79" s="34"/>
      <c r="E79" s="91">
        <v>30987.41</v>
      </c>
      <c r="F79" s="76"/>
      <c r="G79" s="20">
        <v>5943.38</v>
      </c>
      <c r="H79" s="20"/>
      <c r="I79" s="35">
        <f>25044.03+G79</f>
        <v>30987.41</v>
      </c>
      <c r="J79" s="20"/>
      <c r="K79" s="20">
        <f t="shared" si="5"/>
        <v>0</v>
      </c>
    </row>
    <row r="80" spans="1:16" s="14" customFormat="1" ht="12" x14ac:dyDescent="0.25">
      <c r="A80" s="17" t="s">
        <v>15</v>
      </c>
      <c r="B80" s="31" t="s">
        <v>320</v>
      </c>
      <c r="C80" s="15"/>
      <c r="D80" s="24"/>
      <c r="E80" s="102">
        <v>2241.5100000000002</v>
      </c>
      <c r="F80" s="76">
        <v>0.2</v>
      </c>
      <c r="G80" s="20">
        <f t="shared" ref="G80:G91" si="6">E80*F80</f>
        <v>448.30200000000008</v>
      </c>
      <c r="H80" s="23"/>
      <c r="I80" s="20">
        <f>1681.17+G80</f>
        <v>2129.4720000000002</v>
      </c>
      <c r="J80" s="23"/>
      <c r="K80" s="20">
        <f t="shared" si="5"/>
        <v>112.03800000000001</v>
      </c>
      <c r="O80" s="69"/>
    </row>
    <row r="81" spans="1:13" s="37" customFormat="1" ht="12" x14ac:dyDescent="0.25">
      <c r="A81" s="17" t="s">
        <v>15</v>
      </c>
      <c r="B81" s="31" t="s">
        <v>319</v>
      </c>
      <c r="C81" s="4"/>
      <c r="D81" s="34"/>
      <c r="E81" s="91">
        <v>588760.86</v>
      </c>
      <c r="F81" s="76">
        <v>0.2</v>
      </c>
      <c r="G81" s="20">
        <f t="shared" si="6"/>
        <v>117752.17200000001</v>
      </c>
      <c r="H81" s="34"/>
      <c r="I81" s="35">
        <f>441570.62+G81</f>
        <v>559322.79200000002</v>
      </c>
      <c r="J81" s="34"/>
      <c r="K81" s="20">
        <f t="shared" si="5"/>
        <v>29438.06799999997</v>
      </c>
    </row>
    <row r="82" spans="1:13" s="37" customFormat="1" ht="12" x14ac:dyDescent="0.25">
      <c r="A82" s="17" t="s">
        <v>15</v>
      </c>
      <c r="B82" s="31" t="s">
        <v>318</v>
      </c>
      <c r="C82" s="4"/>
      <c r="D82" s="34"/>
      <c r="E82" s="91">
        <v>278.89</v>
      </c>
      <c r="F82" s="76"/>
      <c r="G82" s="20">
        <v>69.77</v>
      </c>
      <c r="H82" s="34"/>
      <c r="I82" s="35">
        <f>209.12+G82</f>
        <v>278.89</v>
      </c>
      <c r="J82" s="34"/>
      <c r="K82" s="20">
        <f t="shared" si="5"/>
        <v>0</v>
      </c>
    </row>
    <row r="83" spans="1:13" s="37" customFormat="1" ht="12" x14ac:dyDescent="0.25">
      <c r="A83" s="17" t="s">
        <v>15</v>
      </c>
      <c r="B83" s="31" t="s">
        <v>318</v>
      </c>
      <c r="C83" s="4"/>
      <c r="D83" s="34"/>
      <c r="E83" s="91">
        <v>514.39</v>
      </c>
      <c r="F83" s="76">
        <v>0.2</v>
      </c>
      <c r="G83" s="20">
        <f t="shared" si="6"/>
        <v>102.878</v>
      </c>
      <c r="H83" s="34"/>
      <c r="I83" s="35">
        <f>385.8+G83</f>
        <v>488.678</v>
      </c>
      <c r="J83" s="34"/>
      <c r="K83" s="20">
        <f t="shared" si="5"/>
        <v>25.711999999999989</v>
      </c>
    </row>
    <row r="84" spans="1:13" s="37" customFormat="1" ht="12" x14ac:dyDescent="0.25">
      <c r="A84" s="17" t="s">
        <v>15</v>
      </c>
      <c r="B84" s="31" t="s">
        <v>317</v>
      </c>
      <c r="C84" s="4"/>
      <c r="D84" s="34"/>
      <c r="E84" s="91">
        <v>16151.95</v>
      </c>
      <c r="F84" s="76">
        <v>0.2</v>
      </c>
      <c r="G84" s="20">
        <f t="shared" si="6"/>
        <v>3230.3900000000003</v>
      </c>
      <c r="H84" s="34"/>
      <c r="I84" s="35">
        <f>12114+G84</f>
        <v>15344.39</v>
      </c>
      <c r="J84" s="34"/>
      <c r="K84" s="20">
        <f t="shared" si="5"/>
        <v>807.56000000000131</v>
      </c>
    </row>
    <row r="85" spans="1:13" s="37" customFormat="1" ht="12" x14ac:dyDescent="0.25">
      <c r="A85" s="17" t="s">
        <v>15</v>
      </c>
      <c r="B85" s="31" t="s">
        <v>316</v>
      </c>
      <c r="C85" s="4"/>
      <c r="D85" s="34"/>
      <c r="E85" s="91">
        <v>2602.94</v>
      </c>
      <c r="F85" s="76">
        <v>0.2</v>
      </c>
      <c r="G85" s="20">
        <f t="shared" si="6"/>
        <v>520.58800000000008</v>
      </c>
      <c r="H85" s="34"/>
      <c r="I85" s="35">
        <f>1952.22+G85</f>
        <v>2472.808</v>
      </c>
      <c r="J85" s="34"/>
      <c r="K85" s="20">
        <f t="shared" si="5"/>
        <v>130.13200000000006</v>
      </c>
    </row>
    <row r="86" spans="1:13" s="37" customFormat="1" ht="12" x14ac:dyDescent="0.25">
      <c r="A86" s="17" t="s">
        <v>15</v>
      </c>
      <c r="B86" s="31" t="s">
        <v>315</v>
      </c>
      <c r="C86" s="4"/>
      <c r="D86" s="34"/>
      <c r="E86" s="91">
        <v>25657.58</v>
      </c>
      <c r="F86" s="76">
        <v>0.2</v>
      </c>
      <c r="G86" s="20">
        <f t="shared" si="6"/>
        <v>5131.5160000000005</v>
      </c>
      <c r="H86" s="34"/>
      <c r="I86" s="35">
        <f>19243.2+G86</f>
        <v>24374.716</v>
      </c>
      <c r="J86" s="34"/>
      <c r="K86" s="20">
        <f t="shared" si="5"/>
        <v>1282.8640000000014</v>
      </c>
    </row>
    <row r="87" spans="1:13" s="37" customFormat="1" ht="12" x14ac:dyDescent="0.25">
      <c r="A87" s="17" t="s">
        <v>15</v>
      </c>
      <c r="B87" s="31" t="s">
        <v>314</v>
      </c>
      <c r="C87" s="4"/>
      <c r="D87" s="34"/>
      <c r="E87" s="91">
        <v>18592.45</v>
      </c>
      <c r="F87" s="76">
        <v>0.2</v>
      </c>
      <c r="G87" s="20">
        <f t="shared" si="6"/>
        <v>3718.4900000000002</v>
      </c>
      <c r="H87" s="34"/>
      <c r="I87" s="35">
        <f>13944.32+G87</f>
        <v>17662.810000000001</v>
      </c>
      <c r="J87" s="34"/>
      <c r="K87" s="20">
        <f t="shared" si="5"/>
        <v>929.63999999999942</v>
      </c>
    </row>
    <row r="88" spans="1:13" s="3" customFormat="1" ht="12" x14ac:dyDescent="0.25">
      <c r="A88" s="17" t="s">
        <v>15</v>
      </c>
      <c r="B88" s="5" t="s">
        <v>313</v>
      </c>
      <c r="C88" s="4"/>
      <c r="D88" s="20"/>
      <c r="E88" s="103">
        <v>2092.39</v>
      </c>
      <c r="F88" s="76">
        <v>0.2</v>
      </c>
      <c r="G88" s="20">
        <f t="shared" si="6"/>
        <v>418.47800000000001</v>
      </c>
      <c r="H88" s="20"/>
      <c r="I88" s="21">
        <f>1569.3+G88</f>
        <v>1987.778</v>
      </c>
      <c r="J88" s="20"/>
      <c r="K88" s="20">
        <f t="shared" si="5"/>
        <v>104.61199999999985</v>
      </c>
    </row>
    <row r="89" spans="1:13" s="3" customFormat="1" ht="12" x14ac:dyDescent="0.25">
      <c r="A89" s="17" t="s">
        <v>15</v>
      </c>
      <c r="B89" s="5" t="s">
        <v>312</v>
      </c>
      <c r="C89" s="4"/>
      <c r="D89" s="20"/>
      <c r="E89" s="103">
        <v>1239.5</v>
      </c>
      <c r="F89" s="76">
        <v>0.2</v>
      </c>
      <c r="G89" s="20">
        <f t="shared" si="6"/>
        <v>247.9</v>
      </c>
      <c r="H89" s="20"/>
      <c r="I89" s="21">
        <f>929.67+G89</f>
        <v>1177.57</v>
      </c>
      <c r="J89" s="20"/>
      <c r="K89" s="20">
        <f t="shared" si="5"/>
        <v>61.930000000000064</v>
      </c>
    </row>
    <row r="90" spans="1:13" s="116" customFormat="1" ht="12" x14ac:dyDescent="0.25">
      <c r="A90" s="109" t="s">
        <v>15</v>
      </c>
      <c r="B90" s="158" t="s">
        <v>311</v>
      </c>
      <c r="C90" s="111"/>
      <c r="D90" s="112"/>
      <c r="E90" s="136">
        <v>3442.7</v>
      </c>
      <c r="F90" s="114">
        <v>0.2</v>
      </c>
      <c r="G90" s="112">
        <f t="shared" si="6"/>
        <v>688.54</v>
      </c>
      <c r="H90" s="112"/>
      <c r="I90" s="113">
        <f>2581.99+G90</f>
        <v>3270.5299999999997</v>
      </c>
      <c r="J90" s="112"/>
      <c r="K90" s="112">
        <f t="shared" si="5"/>
        <v>172.17000000000007</v>
      </c>
    </row>
    <row r="91" spans="1:13" s="116" customFormat="1" ht="12" x14ac:dyDescent="0.25">
      <c r="A91" s="109" t="s">
        <v>15</v>
      </c>
      <c r="B91" s="110" t="s">
        <v>309</v>
      </c>
      <c r="C91" s="111"/>
      <c r="D91" s="112"/>
      <c r="E91" s="136">
        <v>2169.52</v>
      </c>
      <c r="F91" s="114">
        <v>0.2</v>
      </c>
      <c r="G91" s="112">
        <f t="shared" si="6"/>
        <v>433.904</v>
      </c>
      <c r="H91" s="112"/>
      <c r="I91" s="113">
        <f>1627.18+G91</f>
        <v>2061.0839999999998</v>
      </c>
      <c r="J91" s="112"/>
      <c r="K91" s="112">
        <f t="shared" si="5"/>
        <v>108.43600000000015</v>
      </c>
    </row>
    <row r="92" spans="1:13" s="3" customFormat="1" ht="12" x14ac:dyDescent="0.25">
      <c r="A92" s="17" t="s">
        <v>15</v>
      </c>
      <c r="B92" s="31" t="s">
        <v>310</v>
      </c>
      <c r="C92" s="4"/>
      <c r="D92" s="20"/>
      <c r="E92" s="103">
        <v>2077.71</v>
      </c>
      <c r="F92" s="76">
        <v>0.2</v>
      </c>
      <c r="G92" s="20">
        <f>E92*F92</f>
        <v>415.54200000000003</v>
      </c>
      <c r="H92" s="22"/>
      <c r="I92" s="21">
        <f>1454.43+G92</f>
        <v>1869.9720000000002</v>
      </c>
      <c r="J92" s="20"/>
      <c r="K92" s="20">
        <f>E92-I92</f>
        <v>207.73799999999983</v>
      </c>
      <c r="M92" s="68"/>
    </row>
    <row r="93" spans="1:13" s="3" customFormat="1" ht="12" x14ac:dyDescent="0.25">
      <c r="A93" s="17" t="s">
        <v>15</v>
      </c>
      <c r="B93" s="5" t="s">
        <v>308</v>
      </c>
      <c r="C93" s="4"/>
      <c r="D93" s="20"/>
      <c r="E93" s="103">
        <v>55777.35</v>
      </c>
      <c r="F93" s="76">
        <v>0.2</v>
      </c>
      <c r="G93" s="20">
        <f t="shared" ref="G93:G163" si="7">E93*F93</f>
        <v>11155.470000000001</v>
      </c>
      <c r="H93" s="22"/>
      <c r="I93" s="21">
        <f>39044.17+G93</f>
        <v>50199.64</v>
      </c>
      <c r="J93" s="20"/>
      <c r="K93" s="20">
        <f t="shared" ref="K93:K163" si="8">E93-I93</f>
        <v>5577.7099999999991</v>
      </c>
    </row>
    <row r="94" spans="1:13" ht="12" customHeight="1" x14ac:dyDescent="0.25">
      <c r="A94" s="17" t="s">
        <v>15</v>
      </c>
      <c r="B94" s="5" t="s">
        <v>52</v>
      </c>
      <c r="C94" s="4"/>
      <c r="D94" s="20"/>
      <c r="E94" s="103">
        <v>706.51</v>
      </c>
      <c r="F94" s="76">
        <v>0.2</v>
      </c>
      <c r="G94" s="20">
        <f t="shared" si="7"/>
        <v>141.30199999999999</v>
      </c>
      <c r="H94" s="22"/>
      <c r="I94" s="21">
        <f>494.59+G94</f>
        <v>635.89199999999994</v>
      </c>
      <c r="J94" s="20"/>
      <c r="K94" s="20">
        <f t="shared" si="8"/>
        <v>70.618000000000052</v>
      </c>
    </row>
    <row r="95" spans="1:13" ht="12" customHeight="1" x14ac:dyDescent="0.25">
      <c r="A95" s="17" t="s">
        <v>15</v>
      </c>
      <c r="B95" s="5" t="s">
        <v>307</v>
      </c>
      <c r="C95" s="4"/>
      <c r="D95" s="20"/>
      <c r="E95" s="103">
        <v>619.75</v>
      </c>
      <c r="F95" s="76">
        <v>0.2</v>
      </c>
      <c r="G95" s="20">
        <f t="shared" si="7"/>
        <v>123.95</v>
      </c>
      <c r="H95" s="22"/>
      <c r="I95" s="21">
        <f>433.85+G95</f>
        <v>557.80000000000007</v>
      </c>
      <c r="J95" s="20"/>
      <c r="K95" s="20">
        <f t="shared" si="8"/>
        <v>61.949999999999932</v>
      </c>
    </row>
    <row r="96" spans="1:13" ht="12" customHeight="1" x14ac:dyDescent="0.25">
      <c r="A96" s="17" t="s">
        <v>15</v>
      </c>
      <c r="B96" s="5" t="s">
        <v>306</v>
      </c>
      <c r="C96" s="4"/>
      <c r="D96" s="20"/>
      <c r="E96" s="103">
        <v>13200</v>
      </c>
      <c r="F96" s="76">
        <v>0.2</v>
      </c>
      <c r="G96" s="20">
        <f t="shared" si="7"/>
        <v>2640</v>
      </c>
      <c r="H96" s="22"/>
      <c r="I96" s="21">
        <f>9240+G96</f>
        <v>11880</v>
      </c>
      <c r="J96" s="20"/>
      <c r="K96" s="20">
        <f t="shared" si="8"/>
        <v>1320</v>
      </c>
    </row>
    <row r="97" spans="1:11" ht="12" customHeight="1" x14ac:dyDescent="0.25">
      <c r="A97" s="17" t="s">
        <v>15</v>
      </c>
      <c r="B97" s="5" t="s">
        <v>305</v>
      </c>
      <c r="C97" s="4"/>
      <c r="D97" s="20"/>
      <c r="E97" s="103">
        <v>9712.93</v>
      </c>
      <c r="F97" s="76">
        <v>0.2</v>
      </c>
      <c r="G97" s="20">
        <f t="shared" si="7"/>
        <v>1942.5860000000002</v>
      </c>
      <c r="H97" s="22"/>
      <c r="I97" s="21">
        <f>6799.07+G97</f>
        <v>8741.655999999999</v>
      </c>
      <c r="J97" s="20"/>
      <c r="K97" s="20">
        <f t="shared" si="8"/>
        <v>971.27400000000125</v>
      </c>
    </row>
    <row r="98" spans="1:11" ht="12" customHeight="1" x14ac:dyDescent="0.25">
      <c r="A98" s="17" t="s">
        <v>15</v>
      </c>
      <c r="B98" s="5" t="s">
        <v>304</v>
      </c>
      <c r="C98" s="4"/>
      <c r="D98" s="20"/>
      <c r="E98" s="103">
        <v>2140.8000000000002</v>
      </c>
      <c r="F98" s="76">
        <v>0.2</v>
      </c>
      <c r="G98" s="20">
        <f t="shared" si="7"/>
        <v>428.16000000000008</v>
      </c>
      <c r="H98" s="22"/>
      <c r="I98" s="21">
        <f>1338+G98</f>
        <v>1766.16</v>
      </c>
      <c r="J98" s="20"/>
      <c r="K98" s="20">
        <f t="shared" si="8"/>
        <v>374.6400000000001</v>
      </c>
    </row>
    <row r="99" spans="1:11" ht="12" customHeight="1" x14ac:dyDescent="0.25">
      <c r="A99" s="17" t="s">
        <v>15</v>
      </c>
      <c r="B99" s="5" t="s">
        <v>303</v>
      </c>
      <c r="C99" s="4"/>
      <c r="D99" s="20"/>
      <c r="E99" s="103">
        <v>118.44</v>
      </c>
      <c r="F99" s="76">
        <v>0.2</v>
      </c>
      <c r="G99" s="20">
        <f t="shared" si="7"/>
        <v>23.688000000000002</v>
      </c>
      <c r="H99" s="22"/>
      <c r="I99" s="21">
        <f>74+G99</f>
        <v>97.688000000000002</v>
      </c>
      <c r="J99" s="20"/>
      <c r="K99" s="20">
        <f t="shared" si="8"/>
        <v>20.751999999999995</v>
      </c>
    </row>
    <row r="100" spans="1:11" ht="12" customHeight="1" x14ac:dyDescent="0.25">
      <c r="A100" s="17" t="s">
        <v>15</v>
      </c>
      <c r="B100" s="5" t="s">
        <v>302</v>
      </c>
      <c r="C100" s="4"/>
      <c r="D100" s="20"/>
      <c r="E100" s="103">
        <v>312</v>
      </c>
      <c r="F100" s="76">
        <v>0.2</v>
      </c>
      <c r="G100" s="20">
        <f t="shared" si="7"/>
        <v>62.400000000000006</v>
      </c>
      <c r="H100" s="22"/>
      <c r="I100" s="21">
        <f>195+G100</f>
        <v>257.39999999999998</v>
      </c>
      <c r="J100" s="20"/>
      <c r="K100" s="20">
        <f t="shared" si="8"/>
        <v>54.600000000000023</v>
      </c>
    </row>
    <row r="101" spans="1:11" ht="12" customHeight="1" x14ac:dyDescent="0.25">
      <c r="A101" s="17" t="s">
        <v>15</v>
      </c>
      <c r="B101" s="5" t="s">
        <v>301</v>
      </c>
      <c r="C101" s="4"/>
      <c r="D101" s="20"/>
      <c r="E101" s="103">
        <v>6210</v>
      </c>
      <c r="F101" s="76">
        <v>0.2</v>
      </c>
      <c r="G101" s="20">
        <f t="shared" si="7"/>
        <v>1242</v>
      </c>
      <c r="H101" s="22"/>
      <c r="I101" s="21">
        <f>3260.25+G101</f>
        <v>4502.25</v>
      </c>
      <c r="J101" s="20"/>
      <c r="K101" s="20">
        <f t="shared" si="8"/>
        <v>1707.75</v>
      </c>
    </row>
    <row r="102" spans="1:11" ht="12" customHeight="1" x14ac:dyDescent="0.25">
      <c r="A102" s="17" t="s">
        <v>15</v>
      </c>
      <c r="B102" s="5" t="s">
        <v>300</v>
      </c>
      <c r="C102" s="4"/>
      <c r="D102" s="20"/>
      <c r="E102" s="103">
        <v>2880</v>
      </c>
      <c r="F102" s="76">
        <v>0.2</v>
      </c>
      <c r="G102" s="20">
        <f t="shared" si="7"/>
        <v>576</v>
      </c>
      <c r="H102" s="22"/>
      <c r="I102" s="21">
        <f>1512+G102</f>
        <v>2088</v>
      </c>
      <c r="J102" s="20"/>
      <c r="K102" s="20">
        <f t="shared" si="8"/>
        <v>792</v>
      </c>
    </row>
    <row r="103" spans="1:11" ht="12" customHeight="1" x14ac:dyDescent="0.25">
      <c r="A103" s="17" t="s">
        <v>15</v>
      </c>
      <c r="B103" s="5" t="s">
        <v>299</v>
      </c>
      <c r="C103" s="4"/>
      <c r="D103" s="20"/>
      <c r="E103" s="103">
        <v>1129.56</v>
      </c>
      <c r="F103" s="76">
        <v>0.2</v>
      </c>
      <c r="G103" s="20">
        <f t="shared" si="7"/>
        <v>225.91200000000001</v>
      </c>
      <c r="H103" s="22"/>
      <c r="I103" s="21">
        <f>593.04+G103</f>
        <v>818.952</v>
      </c>
      <c r="J103" s="20"/>
      <c r="K103" s="20">
        <f t="shared" si="8"/>
        <v>310.60799999999995</v>
      </c>
    </row>
    <row r="104" spans="1:11" ht="12" customHeight="1" x14ac:dyDescent="0.25">
      <c r="A104" s="17" t="s">
        <v>15</v>
      </c>
      <c r="B104" s="5" t="s">
        <v>298</v>
      </c>
      <c r="C104" s="4"/>
      <c r="D104" s="20"/>
      <c r="E104" s="103">
        <v>114</v>
      </c>
      <c r="F104" s="76">
        <v>0.2</v>
      </c>
      <c r="G104" s="20">
        <f t="shared" si="7"/>
        <v>22.8</v>
      </c>
      <c r="H104" s="22"/>
      <c r="I104" s="21">
        <f>59.85+G104</f>
        <v>82.65</v>
      </c>
      <c r="J104" s="20"/>
      <c r="K104" s="20">
        <f t="shared" si="8"/>
        <v>31.349999999999994</v>
      </c>
    </row>
    <row r="105" spans="1:11" ht="12" customHeight="1" x14ac:dyDescent="0.25">
      <c r="A105" s="17" t="s">
        <v>15</v>
      </c>
      <c r="B105" s="5" t="s">
        <v>297</v>
      </c>
      <c r="C105" s="4"/>
      <c r="D105" s="20"/>
      <c r="E105" s="103">
        <v>1560</v>
      </c>
      <c r="F105" s="76">
        <v>0.2</v>
      </c>
      <c r="G105" s="20">
        <f t="shared" si="7"/>
        <v>312</v>
      </c>
      <c r="H105" s="22"/>
      <c r="I105" s="21">
        <f>819+G105</f>
        <v>1131</v>
      </c>
      <c r="J105" s="20"/>
      <c r="K105" s="20">
        <f t="shared" si="8"/>
        <v>429</v>
      </c>
    </row>
    <row r="106" spans="1:11" ht="12" customHeight="1" x14ac:dyDescent="0.25">
      <c r="A106" s="17" t="s">
        <v>15</v>
      </c>
      <c r="B106" s="5" t="s">
        <v>296</v>
      </c>
      <c r="C106" s="4"/>
      <c r="D106" s="20"/>
      <c r="E106" s="103">
        <v>3916.04</v>
      </c>
      <c r="F106" s="76">
        <v>0.2</v>
      </c>
      <c r="G106" s="20">
        <f t="shared" si="7"/>
        <v>783.20800000000008</v>
      </c>
      <c r="H106" s="22"/>
      <c r="I106" s="21">
        <f>2055.9+G106</f>
        <v>2839.1080000000002</v>
      </c>
      <c r="J106" s="20"/>
      <c r="K106" s="20">
        <f t="shared" si="8"/>
        <v>1076.9319999999998</v>
      </c>
    </row>
    <row r="107" spans="1:11" ht="12" customHeight="1" x14ac:dyDescent="0.25">
      <c r="A107" s="17" t="s">
        <v>15</v>
      </c>
      <c r="B107" s="5" t="s">
        <v>53</v>
      </c>
      <c r="C107" s="4"/>
      <c r="D107" s="20"/>
      <c r="E107" s="103">
        <v>799.7</v>
      </c>
      <c r="F107" s="76">
        <v>0.2</v>
      </c>
      <c r="G107" s="20">
        <f t="shared" si="7"/>
        <v>159.94000000000003</v>
      </c>
      <c r="H107" s="22"/>
      <c r="I107" s="21">
        <f>419.8+G107</f>
        <v>579.74</v>
      </c>
      <c r="J107" s="20"/>
      <c r="K107" s="20">
        <f t="shared" si="8"/>
        <v>219.96000000000004</v>
      </c>
    </row>
    <row r="108" spans="1:11" ht="12" customHeight="1" x14ac:dyDescent="0.25">
      <c r="A108" s="17" t="s">
        <v>15</v>
      </c>
      <c r="B108" s="5" t="s">
        <v>295</v>
      </c>
      <c r="C108" s="4"/>
      <c r="D108" s="20"/>
      <c r="E108" s="103">
        <v>840.88</v>
      </c>
      <c r="F108" s="76">
        <v>0.2</v>
      </c>
      <c r="G108" s="20">
        <f t="shared" si="7"/>
        <v>168.17600000000002</v>
      </c>
      <c r="H108" s="22"/>
      <c r="I108" s="21">
        <f>441.42+G108</f>
        <v>609.596</v>
      </c>
      <c r="J108" s="20"/>
      <c r="K108" s="20">
        <f t="shared" si="8"/>
        <v>231.28399999999999</v>
      </c>
    </row>
    <row r="109" spans="1:11" ht="12" customHeight="1" x14ac:dyDescent="0.25">
      <c r="A109" s="17" t="s">
        <v>15</v>
      </c>
      <c r="B109" s="5" t="s">
        <v>54</v>
      </c>
      <c r="C109" s="4"/>
      <c r="D109" s="20"/>
      <c r="E109" s="103">
        <v>1562.3</v>
      </c>
      <c r="F109" s="76">
        <v>0.2</v>
      </c>
      <c r="G109" s="20">
        <f t="shared" si="7"/>
        <v>312.46000000000004</v>
      </c>
      <c r="H109" s="22"/>
      <c r="I109" s="21">
        <f>820.17+G109</f>
        <v>1132.6300000000001</v>
      </c>
      <c r="J109" s="20"/>
      <c r="K109" s="20">
        <f t="shared" si="8"/>
        <v>429.66999999999985</v>
      </c>
    </row>
    <row r="110" spans="1:11" ht="12" customHeight="1" x14ac:dyDescent="0.25">
      <c r="A110" s="17" t="s">
        <v>15</v>
      </c>
      <c r="B110" s="5" t="s">
        <v>294</v>
      </c>
      <c r="C110" s="4"/>
      <c r="D110" s="20"/>
      <c r="E110" s="103">
        <v>3607.49</v>
      </c>
      <c r="F110" s="76">
        <v>0.2</v>
      </c>
      <c r="G110" s="20">
        <f t="shared" si="7"/>
        <v>721.49800000000005</v>
      </c>
      <c r="H110" s="22"/>
      <c r="I110" s="21">
        <f>1893.89+G110</f>
        <v>2615.3879999999999</v>
      </c>
      <c r="J110" s="20"/>
      <c r="K110" s="20">
        <f t="shared" si="8"/>
        <v>992.10199999999986</v>
      </c>
    </row>
    <row r="111" spans="1:11" ht="12" customHeight="1" x14ac:dyDescent="0.25">
      <c r="A111" s="17" t="s">
        <v>15</v>
      </c>
      <c r="B111" s="5" t="s">
        <v>55</v>
      </c>
      <c r="C111" s="4"/>
      <c r="D111" s="20"/>
      <c r="E111" s="103">
        <v>1654.3</v>
      </c>
      <c r="F111" s="76">
        <v>0.2</v>
      </c>
      <c r="G111" s="20">
        <f t="shared" si="7"/>
        <v>330.86</v>
      </c>
      <c r="H111" s="22"/>
      <c r="I111" s="21">
        <f>785.84+G111</f>
        <v>1116.7</v>
      </c>
      <c r="J111" s="20"/>
      <c r="K111" s="20">
        <f t="shared" si="8"/>
        <v>537.59999999999991</v>
      </c>
    </row>
    <row r="112" spans="1:11" s="131" customFormat="1" ht="12" customHeight="1" x14ac:dyDescent="0.25">
      <c r="A112" s="109" t="s">
        <v>15</v>
      </c>
      <c r="B112" s="110" t="s">
        <v>293</v>
      </c>
      <c r="C112" s="111"/>
      <c r="D112" s="112"/>
      <c r="E112" s="136">
        <v>16800</v>
      </c>
      <c r="F112" s="114">
        <v>0.2</v>
      </c>
      <c r="G112" s="112">
        <f t="shared" si="7"/>
        <v>3360</v>
      </c>
      <c r="H112" s="115"/>
      <c r="I112" s="113">
        <f>7980+G112</f>
        <v>11340</v>
      </c>
      <c r="J112" s="112"/>
      <c r="K112" s="112">
        <f t="shared" si="8"/>
        <v>5460</v>
      </c>
    </row>
    <row r="113" spans="1:11" ht="12" customHeight="1" x14ac:dyDescent="0.25">
      <c r="A113" s="17" t="s">
        <v>15</v>
      </c>
      <c r="B113" s="5" t="s">
        <v>292</v>
      </c>
      <c r="C113" s="4"/>
      <c r="D113" s="20"/>
      <c r="E113" s="103">
        <v>19800</v>
      </c>
      <c r="F113" s="76">
        <v>0.2</v>
      </c>
      <c r="G113" s="20">
        <f t="shared" si="7"/>
        <v>3960</v>
      </c>
      <c r="H113" s="22"/>
      <c r="I113" s="21">
        <f>9405+G113</f>
        <v>13365</v>
      </c>
      <c r="J113" s="20"/>
      <c r="K113" s="20">
        <f t="shared" si="8"/>
        <v>6435</v>
      </c>
    </row>
    <row r="114" spans="1:11" ht="12" customHeight="1" x14ac:dyDescent="0.25">
      <c r="A114" s="17" t="s">
        <v>15</v>
      </c>
      <c r="B114" s="5" t="s">
        <v>291</v>
      </c>
      <c r="C114" s="4"/>
      <c r="D114" s="20"/>
      <c r="E114" s="103">
        <v>69000</v>
      </c>
      <c r="F114" s="76">
        <v>0.2</v>
      </c>
      <c r="G114" s="20">
        <f t="shared" si="7"/>
        <v>13800</v>
      </c>
      <c r="H114" s="22"/>
      <c r="I114" s="21">
        <f>32775+G114</f>
        <v>46575</v>
      </c>
      <c r="J114" s="20"/>
      <c r="K114" s="20">
        <f t="shared" si="8"/>
        <v>22425</v>
      </c>
    </row>
    <row r="115" spans="1:11" ht="12" customHeight="1" x14ac:dyDescent="0.25">
      <c r="A115" s="17" t="s">
        <v>15</v>
      </c>
      <c r="B115" s="5" t="s">
        <v>290</v>
      </c>
      <c r="C115" s="4"/>
      <c r="D115" s="20"/>
      <c r="E115" s="103">
        <v>2175</v>
      </c>
      <c r="F115" s="76">
        <v>0.2</v>
      </c>
      <c r="G115" s="20">
        <f t="shared" si="7"/>
        <v>435</v>
      </c>
      <c r="H115" s="22"/>
      <c r="I115" s="21">
        <f>1033.13+G115</f>
        <v>1468.13</v>
      </c>
      <c r="J115" s="20"/>
      <c r="K115" s="20">
        <f t="shared" si="8"/>
        <v>706.86999999999989</v>
      </c>
    </row>
    <row r="116" spans="1:11" ht="12" customHeight="1" x14ac:dyDescent="0.25">
      <c r="A116" s="17" t="s">
        <v>15</v>
      </c>
      <c r="B116" s="5" t="s">
        <v>289</v>
      </c>
      <c r="C116" s="4"/>
      <c r="D116" s="20"/>
      <c r="E116" s="103">
        <v>19200</v>
      </c>
      <c r="F116" s="76">
        <v>0.2</v>
      </c>
      <c r="G116" s="20">
        <f t="shared" si="7"/>
        <v>3840</v>
      </c>
      <c r="H116" s="22"/>
      <c r="I116" s="21">
        <f>9120+G116</f>
        <v>12960</v>
      </c>
      <c r="J116" s="20"/>
      <c r="K116" s="20">
        <f t="shared" si="8"/>
        <v>6240</v>
      </c>
    </row>
    <row r="117" spans="1:11" ht="12" customHeight="1" x14ac:dyDescent="0.25">
      <c r="A117" s="17" t="s">
        <v>15</v>
      </c>
      <c r="B117" s="5" t="s">
        <v>288</v>
      </c>
      <c r="C117" s="4"/>
      <c r="D117" s="20"/>
      <c r="E117" s="103">
        <v>174000</v>
      </c>
      <c r="F117" s="76">
        <v>0.2</v>
      </c>
      <c r="G117" s="20">
        <f t="shared" si="7"/>
        <v>34800</v>
      </c>
      <c r="H117" s="22"/>
      <c r="I117" s="21">
        <f>82650+G117</f>
        <v>117450</v>
      </c>
      <c r="J117" s="20"/>
      <c r="K117" s="20">
        <f t="shared" si="8"/>
        <v>56550</v>
      </c>
    </row>
    <row r="118" spans="1:11" ht="12" customHeight="1" x14ac:dyDescent="0.25">
      <c r="A118" s="17" t="s">
        <v>15</v>
      </c>
      <c r="B118" s="5" t="s">
        <v>287</v>
      </c>
      <c r="C118" s="4"/>
      <c r="D118" s="20"/>
      <c r="E118" s="103">
        <v>1228.8</v>
      </c>
      <c r="F118" s="76">
        <v>0.2</v>
      </c>
      <c r="G118" s="20">
        <f t="shared" si="7"/>
        <v>245.76</v>
      </c>
      <c r="H118" s="22"/>
      <c r="I118" s="21">
        <f>583.68+G118</f>
        <v>829.43999999999994</v>
      </c>
      <c r="J118" s="20"/>
      <c r="K118" s="20">
        <f t="shared" si="8"/>
        <v>399.36</v>
      </c>
    </row>
    <row r="119" spans="1:11" ht="12" customHeight="1" x14ac:dyDescent="0.25">
      <c r="A119" s="17" t="s">
        <v>15</v>
      </c>
      <c r="B119" s="5" t="s">
        <v>286</v>
      </c>
      <c r="C119" s="4"/>
      <c r="D119" s="20"/>
      <c r="E119" s="103">
        <v>7200</v>
      </c>
      <c r="F119" s="76">
        <v>0.2</v>
      </c>
      <c r="G119" s="20">
        <f t="shared" si="7"/>
        <v>1440</v>
      </c>
      <c r="H119" s="22"/>
      <c r="I119" s="21">
        <f>3600+G119</f>
        <v>5040</v>
      </c>
      <c r="J119" s="20"/>
      <c r="K119" s="20">
        <f t="shared" si="8"/>
        <v>2160</v>
      </c>
    </row>
    <row r="120" spans="1:11" ht="12" customHeight="1" x14ac:dyDescent="0.25">
      <c r="A120" s="17" t="s">
        <v>15</v>
      </c>
      <c r="B120" s="5" t="s">
        <v>285</v>
      </c>
      <c r="C120" s="4"/>
      <c r="D120" s="20"/>
      <c r="E120" s="103">
        <v>396</v>
      </c>
      <c r="F120" s="76">
        <v>0.2</v>
      </c>
      <c r="G120" s="20">
        <f t="shared" si="7"/>
        <v>79.2</v>
      </c>
      <c r="H120" s="22"/>
      <c r="I120" s="21">
        <f>198+G120</f>
        <v>277.2</v>
      </c>
      <c r="J120" s="20"/>
      <c r="K120" s="20">
        <f t="shared" si="8"/>
        <v>118.80000000000001</v>
      </c>
    </row>
    <row r="121" spans="1:11" ht="12" customHeight="1" x14ac:dyDescent="0.25">
      <c r="A121" s="17" t="s">
        <v>15</v>
      </c>
      <c r="B121" s="5" t="s">
        <v>284</v>
      </c>
      <c r="C121" s="4"/>
      <c r="D121" s="20"/>
      <c r="E121" s="103">
        <v>15904.02</v>
      </c>
      <c r="F121" s="76">
        <v>0.2</v>
      </c>
      <c r="G121" s="20">
        <f t="shared" si="7"/>
        <v>3180.8040000000001</v>
      </c>
      <c r="H121" s="22"/>
      <c r="I121" s="21">
        <f>7952+G121</f>
        <v>11132.804</v>
      </c>
      <c r="J121" s="20"/>
      <c r="K121" s="20">
        <f t="shared" si="8"/>
        <v>4771.2160000000003</v>
      </c>
    </row>
    <row r="122" spans="1:11" ht="12" customHeight="1" x14ac:dyDescent="0.25">
      <c r="A122" s="17" t="s">
        <v>15</v>
      </c>
      <c r="B122" s="5" t="s">
        <v>56</v>
      </c>
      <c r="C122" s="4"/>
      <c r="D122" s="20"/>
      <c r="E122" s="103">
        <v>5316.66</v>
      </c>
      <c r="F122" s="76">
        <v>0.2</v>
      </c>
      <c r="G122" s="20">
        <f t="shared" si="7"/>
        <v>1063.3320000000001</v>
      </c>
      <c r="H122" s="22"/>
      <c r="I122" s="21">
        <f>2658.3+G122</f>
        <v>3721.6320000000005</v>
      </c>
      <c r="J122" s="20"/>
      <c r="K122" s="20">
        <f t="shared" si="8"/>
        <v>1595.0279999999993</v>
      </c>
    </row>
    <row r="123" spans="1:11" ht="12" customHeight="1" x14ac:dyDescent="0.25">
      <c r="A123" s="17" t="s">
        <v>15</v>
      </c>
      <c r="B123" s="5" t="s">
        <v>57</v>
      </c>
      <c r="C123" s="4"/>
      <c r="D123" s="20"/>
      <c r="E123" s="103">
        <v>2468.4</v>
      </c>
      <c r="F123" s="76">
        <v>0.2</v>
      </c>
      <c r="G123" s="20">
        <f t="shared" si="7"/>
        <v>493.68000000000006</v>
      </c>
      <c r="H123" s="22"/>
      <c r="I123" s="21">
        <f>1234.2+G123</f>
        <v>1727.88</v>
      </c>
      <c r="J123" s="20"/>
      <c r="K123" s="20">
        <f t="shared" si="8"/>
        <v>740.52</v>
      </c>
    </row>
    <row r="124" spans="1:11" ht="12" customHeight="1" x14ac:dyDescent="0.25">
      <c r="A124" s="17" t="s">
        <v>15</v>
      </c>
      <c r="B124" s="5" t="s">
        <v>283</v>
      </c>
      <c r="C124" s="4"/>
      <c r="D124" s="20"/>
      <c r="E124" s="103">
        <v>492</v>
      </c>
      <c r="F124" s="76">
        <v>0.2</v>
      </c>
      <c r="G124" s="20">
        <f t="shared" si="7"/>
        <v>98.4</v>
      </c>
      <c r="H124" s="22"/>
      <c r="I124" s="21">
        <f>221.4+G124</f>
        <v>319.8</v>
      </c>
      <c r="J124" s="20"/>
      <c r="K124" s="20">
        <f t="shared" si="8"/>
        <v>172.2</v>
      </c>
    </row>
    <row r="125" spans="1:11" ht="12" customHeight="1" x14ac:dyDescent="0.25">
      <c r="A125" s="17" t="s">
        <v>15</v>
      </c>
      <c r="B125" s="5" t="s">
        <v>282</v>
      </c>
      <c r="C125" s="4"/>
      <c r="D125" s="20"/>
      <c r="E125" s="103">
        <v>708</v>
      </c>
      <c r="F125" s="76">
        <v>0.2</v>
      </c>
      <c r="G125" s="20">
        <f t="shared" si="7"/>
        <v>141.6</v>
      </c>
      <c r="H125" s="22"/>
      <c r="I125" s="21">
        <f>354+G125</f>
        <v>495.6</v>
      </c>
      <c r="J125" s="20"/>
      <c r="K125" s="20">
        <f t="shared" si="8"/>
        <v>212.39999999999998</v>
      </c>
    </row>
    <row r="126" spans="1:11" ht="12" customHeight="1" x14ac:dyDescent="0.25">
      <c r="A126" s="17" t="s">
        <v>15</v>
      </c>
      <c r="B126" s="5" t="s">
        <v>281</v>
      </c>
      <c r="C126" s="4"/>
      <c r="D126" s="20"/>
      <c r="E126" s="103">
        <v>9540</v>
      </c>
      <c r="F126" s="76"/>
      <c r="G126" s="20">
        <v>270</v>
      </c>
      <c r="H126" s="22"/>
      <c r="I126" s="21">
        <f>9270+G126</f>
        <v>9540</v>
      </c>
      <c r="J126" s="20"/>
      <c r="K126" s="20">
        <f t="shared" si="8"/>
        <v>0</v>
      </c>
    </row>
    <row r="127" spans="1:11" ht="12" customHeight="1" x14ac:dyDescent="0.25">
      <c r="A127" s="17" t="s">
        <v>15</v>
      </c>
      <c r="B127" s="5" t="s">
        <v>280</v>
      </c>
      <c r="C127" s="4"/>
      <c r="D127" s="20"/>
      <c r="E127" s="103">
        <v>513.65</v>
      </c>
      <c r="F127" s="76">
        <v>0.2</v>
      </c>
      <c r="G127" s="20">
        <f t="shared" si="7"/>
        <v>102.73</v>
      </c>
      <c r="H127" s="22"/>
      <c r="I127" s="21">
        <f>256.8+G127</f>
        <v>359.53000000000003</v>
      </c>
      <c r="J127" s="20"/>
      <c r="K127" s="20">
        <f t="shared" si="8"/>
        <v>154.11999999999995</v>
      </c>
    </row>
    <row r="128" spans="1:11" ht="12" customHeight="1" x14ac:dyDescent="0.25">
      <c r="A128" s="17" t="s">
        <v>15</v>
      </c>
      <c r="B128" s="5" t="s">
        <v>58</v>
      </c>
      <c r="C128" s="4"/>
      <c r="D128" s="20">
        <v>19200</v>
      </c>
      <c r="E128" s="103"/>
      <c r="F128" s="76"/>
      <c r="G128" s="20"/>
      <c r="H128" s="22">
        <v>7680</v>
      </c>
      <c r="I128" s="21"/>
      <c r="J128" s="20"/>
      <c r="K128" s="20"/>
    </row>
    <row r="129" spans="1:11" s="131" customFormat="1" ht="12" customHeight="1" x14ac:dyDescent="0.25">
      <c r="A129" s="109" t="s">
        <v>15</v>
      </c>
      <c r="B129" s="110" t="s">
        <v>20</v>
      </c>
      <c r="C129" s="111"/>
      <c r="D129" s="112">
        <v>-790.8</v>
      </c>
      <c r="E129" s="136">
        <f>D128+D129</f>
        <v>18409.2</v>
      </c>
      <c r="F129" s="114">
        <v>0.2</v>
      </c>
      <c r="G129" s="112">
        <f t="shared" si="7"/>
        <v>3681.84</v>
      </c>
      <c r="H129" s="115">
        <v>-158.16</v>
      </c>
      <c r="I129" s="113">
        <f>H128+H129+G129</f>
        <v>11203.68</v>
      </c>
      <c r="J129" s="112"/>
      <c r="K129" s="112">
        <f t="shared" si="8"/>
        <v>7205.52</v>
      </c>
    </row>
    <row r="130" spans="1:11" ht="12" customHeight="1" x14ac:dyDescent="0.25">
      <c r="A130" s="17" t="s">
        <v>15</v>
      </c>
      <c r="B130" s="5" t="s">
        <v>279</v>
      </c>
      <c r="C130" s="4"/>
      <c r="D130" s="20"/>
      <c r="E130" s="103">
        <v>5376</v>
      </c>
      <c r="F130" s="76">
        <v>0.2</v>
      </c>
      <c r="G130" s="20">
        <f t="shared" si="7"/>
        <v>1075.2</v>
      </c>
      <c r="H130" s="22"/>
      <c r="I130" s="21">
        <f>2150.4+G130</f>
        <v>3225.6000000000004</v>
      </c>
      <c r="J130" s="20"/>
      <c r="K130" s="20">
        <f t="shared" si="8"/>
        <v>2150.3999999999996</v>
      </c>
    </row>
    <row r="131" spans="1:11" ht="12" customHeight="1" x14ac:dyDescent="0.25">
      <c r="A131" s="17" t="s">
        <v>15</v>
      </c>
      <c r="B131" s="5" t="s">
        <v>59</v>
      </c>
      <c r="C131" s="4"/>
      <c r="D131" s="20"/>
      <c r="E131" s="103">
        <v>9360</v>
      </c>
      <c r="F131" s="76">
        <v>0.2</v>
      </c>
      <c r="G131" s="20">
        <f t="shared" si="7"/>
        <v>1872</v>
      </c>
      <c r="H131" s="22"/>
      <c r="I131" s="21">
        <f>3276+G131</f>
        <v>5148</v>
      </c>
      <c r="J131" s="20"/>
      <c r="K131" s="20">
        <f t="shared" si="8"/>
        <v>4212</v>
      </c>
    </row>
    <row r="132" spans="1:11" ht="12" customHeight="1" x14ac:dyDescent="0.25">
      <c r="A132" s="17" t="s">
        <v>15</v>
      </c>
      <c r="B132" s="5" t="s">
        <v>60</v>
      </c>
      <c r="C132" s="4"/>
      <c r="D132" s="20"/>
      <c r="E132" s="103">
        <v>3600</v>
      </c>
      <c r="F132" s="76">
        <v>0.2</v>
      </c>
      <c r="G132" s="20">
        <f t="shared" si="7"/>
        <v>720</v>
      </c>
      <c r="H132" s="22"/>
      <c r="I132" s="21">
        <f>1260+G132</f>
        <v>1980</v>
      </c>
      <c r="J132" s="20"/>
      <c r="K132" s="20">
        <f t="shared" si="8"/>
        <v>1620</v>
      </c>
    </row>
    <row r="133" spans="1:11" ht="12" customHeight="1" x14ac:dyDescent="0.25">
      <c r="A133" s="17" t="s">
        <v>15</v>
      </c>
      <c r="B133" s="5" t="s">
        <v>61</v>
      </c>
      <c r="C133" s="4"/>
      <c r="D133" s="20"/>
      <c r="E133" s="103">
        <v>21600</v>
      </c>
      <c r="F133" s="76">
        <v>0.2</v>
      </c>
      <c r="G133" s="20">
        <f t="shared" si="7"/>
        <v>4320</v>
      </c>
      <c r="H133" s="22"/>
      <c r="I133" s="21">
        <f>6480+G133</f>
        <v>10800</v>
      </c>
      <c r="J133" s="20"/>
      <c r="K133" s="20">
        <f t="shared" si="8"/>
        <v>10800</v>
      </c>
    </row>
    <row r="134" spans="1:11" ht="12" customHeight="1" x14ac:dyDescent="0.25">
      <c r="A134" s="17" t="s">
        <v>15</v>
      </c>
      <c r="B134" s="5" t="s">
        <v>62</v>
      </c>
      <c r="C134" s="4"/>
      <c r="D134" s="20"/>
      <c r="E134" s="103">
        <v>2400</v>
      </c>
      <c r="F134" s="76">
        <v>0.2</v>
      </c>
      <c r="G134" s="20">
        <f t="shared" si="7"/>
        <v>480</v>
      </c>
      <c r="H134" s="22"/>
      <c r="I134" s="21">
        <f>720+G134</f>
        <v>1200</v>
      </c>
      <c r="J134" s="20"/>
      <c r="K134" s="20">
        <f t="shared" si="8"/>
        <v>1200</v>
      </c>
    </row>
    <row r="135" spans="1:11" ht="12" customHeight="1" x14ac:dyDescent="0.25">
      <c r="A135" s="17" t="s">
        <v>15</v>
      </c>
      <c r="B135" s="5" t="s">
        <v>63</v>
      </c>
      <c r="C135" s="4"/>
      <c r="D135" s="20"/>
      <c r="E135" s="103">
        <v>1937.66</v>
      </c>
      <c r="F135" s="76">
        <v>0.2</v>
      </c>
      <c r="G135" s="20">
        <f t="shared" si="7"/>
        <v>387.53200000000004</v>
      </c>
      <c r="H135" s="22"/>
      <c r="I135" s="21">
        <f>484.4+G135</f>
        <v>871.93200000000002</v>
      </c>
      <c r="J135" s="20"/>
      <c r="K135" s="20">
        <f t="shared" si="8"/>
        <v>1065.7280000000001</v>
      </c>
    </row>
    <row r="136" spans="1:11" ht="12" customHeight="1" x14ac:dyDescent="0.25">
      <c r="A136" s="17" t="s">
        <v>15</v>
      </c>
      <c r="B136" s="5" t="s">
        <v>64</v>
      </c>
      <c r="C136" s="4"/>
      <c r="D136" s="20"/>
      <c r="E136" s="103">
        <v>145.02000000000001</v>
      </c>
      <c r="F136" s="76">
        <v>0.2</v>
      </c>
      <c r="G136" s="20">
        <f t="shared" si="7"/>
        <v>29.004000000000005</v>
      </c>
      <c r="H136" s="22"/>
      <c r="I136" s="21">
        <f>36.25+G136</f>
        <v>65.254000000000005</v>
      </c>
      <c r="J136" s="20"/>
      <c r="K136" s="20">
        <f t="shared" si="8"/>
        <v>79.766000000000005</v>
      </c>
    </row>
    <row r="137" spans="1:11" ht="12" customHeight="1" x14ac:dyDescent="0.25">
      <c r="A137" s="17" t="s">
        <v>15</v>
      </c>
      <c r="B137" s="5" t="s">
        <v>65</v>
      </c>
      <c r="C137" s="4"/>
      <c r="D137" s="20">
        <v>390001.15</v>
      </c>
      <c r="E137" s="102"/>
      <c r="F137" s="76"/>
      <c r="G137" s="20"/>
      <c r="H137" s="22">
        <v>78000.240000000005</v>
      </c>
      <c r="I137" s="21"/>
      <c r="J137" s="20"/>
      <c r="K137" s="20"/>
    </row>
    <row r="138" spans="1:11" s="131" customFormat="1" ht="12" customHeight="1" x14ac:dyDescent="0.25">
      <c r="A138" s="109" t="s">
        <v>15</v>
      </c>
      <c r="B138" s="110" t="s">
        <v>20</v>
      </c>
      <c r="C138" s="111"/>
      <c r="D138" s="112">
        <v>-129468</v>
      </c>
      <c r="E138" s="153">
        <f>D137+D138</f>
        <v>260533.15000000002</v>
      </c>
      <c r="F138" s="114">
        <v>0.2</v>
      </c>
      <c r="G138" s="112">
        <f t="shared" si="7"/>
        <v>52106.630000000005</v>
      </c>
      <c r="H138" s="115">
        <v>-25893.599999999999</v>
      </c>
      <c r="I138" s="113">
        <f>H137+H138+G138</f>
        <v>104213.27000000002</v>
      </c>
      <c r="J138" s="112"/>
      <c r="K138" s="112">
        <f>E138-I138</f>
        <v>156319.88</v>
      </c>
    </row>
    <row r="139" spans="1:11" s="131" customFormat="1" ht="12" customHeight="1" x14ac:dyDescent="0.25">
      <c r="A139" s="109" t="s">
        <v>15</v>
      </c>
      <c r="B139" s="110" t="s">
        <v>66</v>
      </c>
      <c r="C139" s="111"/>
      <c r="D139" s="112"/>
      <c r="E139" s="153">
        <v>490.05</v>
      </c>
      <c r="F139" s="114">
        <v>0.2</v>
      </c>
      <c r="G139" s="112">
        <f t="shared" si="7"/>
        <v>98.01</v>
      </c>
      <c r="H139" s="115"/>
      <c r="I139" s="113">
        <f>98+G139</f>
        <v>196.01</v>
      </c>
      <c r="J139" s="112"/>
      <c r="K139" s="112">
        <f t="shared" si="8"/>
        <v>294.04000000000002</v>
      </c>
    </row>
    <row r="140" spans="1:11" s="131" customFormat="1" ht="12" customHeight="1" x14ac:dyDescent="0.25">
      <c r="A140" s="109" t="s">
        <v>15</v>
      </c>
      <c r="B140" s="110" t="s">
        <v>67</v>
      </c>
      <c r="C140" s="111"/>
      <c r="D140" s="112">
        <v>10082.19</v>
      </c>
      <c r="E140" s="136"/>
      <c r="F140" s="114"/>
      <c r="G140" s="112"/>
      <c r="H140" s="115">
        <v>2016.44</v>
      </c>
      <c r="I140" s="113"/>
      <c r="J140" s="112"/>
      <c r="K140" s="112"/>
    </row>
    <row r="141" spans="1:11" s="131" customFormat="1" ht="12" customHeight="1" x14ac:dyDescent="0.25">
      <c r="A141" s="109" t="s">
        <v>15</v>
      </c>
      <c r="B141" s="110" t="s">
        <v>20</v>
      </c>
      <c r="C141" s="111"/>
      <c r="D141" s="112">
        <v>-7365.3</v>
      </c>
      <c r="E141" s="136">
        <f>D140+D141</f>
        <v>2716.8900000000003</v>
      </c>
      <c r="F141" s="114">
        <v>0.2</v>
      </c>
      <c r="G141" s="112">
        <f>E141*F141</f>
        <v>543.37800000000004</v>
      </c>
      <c r="H141" s="115">
        <v>-1473.08</v>
      </c>
      <c r="I141" s="113">
        <f>H140+H141+G141</f>
        <v>1086.7380000000003</v>
      </c>
      <c r="J141" s="112"/>
      <c r="K141" s="112">
        <f>E141-I141</f>
        <v>1630.152</v>
      </c>
    </row>
    <row r="142" spans="1:11" s="131" customFormat="1" ht="12" customHeight="1" x14ac:dyDescent="0.25">
      <c r="A142" s="109" t="s">
        <v>15</v>
      </c>
      <c r="B142" s="110" t="s">
        <v>68</v>
      </c>
      <c r="C142" s="111"/>
      <c r="D142" s="112"/>
      <c r="E142" s="136">
        <v>2392.17</v>
      </c>
      <c r="F142" s="114">
        <v>0.2</v>
      </c>
      <c r="G142" s="112">
        <f t="shared" si="7"/>
        <v>478.43400000000003</v>
      </c>
      <c r="H142" s="115"/>
      <c r="I142" s="113">
        <f>478.44+G142</f>
        <v>956.87400000000002</v>
      </c>
      <c r="J142" s="112"/>
      <c r="K142" s="112">
        <f t="shared" si="8"/>
        <v>1435.296</v>
      </c>
    </row>
    <row r="143" spans="1:11" s="131" customFormat="1" ht="12" customHeight="1" x14ac:dyDescent="0.25">
      <c r="A143" s="109" t="s">
        <v>15</v>
      </c>
      <c r="B143" s="110" t="s">
        <v>69</v>
      </c>
      <c r="C143" s="111"/>
      <c r="D143" s="112"/>
      <c r="E143" s="136">
        <v>3818.59</v>
      </c>
      <c r="F143" s="114">
        <v>0.2</v>
      </c>
      <c r="G143" s="112">
        <f t="shared" si="7"/>
        <v>763.71800000000007</v>
      </c>
      <c r="H143" s="115"/>
      <c r="I143" s="113">
        <f>763.72+G143</f>
        <v>1527.4380000000001</v>
      </c>
      <c r="J143" s="112"/>
      <c r="K143" s="112">
        <f t="shared" si="8"/>
        <v>2291.152</v>
      </c>
    </row>
    <row r="144" spans="1:11" s="131" customFormat="1" ht="12" customHeight="1" x14ac:dyDescent="0.25">
      <c r="A144" s="109" t="s">
        <v>15</v>
      </c>
      <c r="B144" s="110" t="s">
        <v>70</v>
      </c>
      <c r="C144" s="111"/>
      <c r="D144" s="112"/>
      <c r="E144" s="136">
        <v>8379.25</v>
      </c>
      <c r="F144" s="114">
        <v>0.2</v>
      </c>
      <c r="G144" s="112">
        <f t="shared" si="7"/>
        <v>1675.8500000000001</v>
      </c>
      <c r="H144" s="115"/>
      <c r="I144" s="113">
        <f>1675.84+G144</f>
        <v>3351.69</v>
      </c>
      <c r="J144" s="112"/>
      <c r="K144" s="112">
        <f t="shared" si="8"/>
        <v>5027.5599999999995</v>
      </c>
    </row>
    <row r="145" spans="1:11" s="131" customFormat="1" ht="12" customHeight="1" x14ac:dyDescent="0.25">
      <c r="A145" s="109" t="s">
        <v>15</v>
      </c>
      <c r="B145" s="110" t="s">
        <v>71</v>
      </c>
      <c r="C145" s="111"/>
      <c r="D145" s="112"/>
      <c r="E145" s="136">
        <v>1149.5</v>
      </c>
      <c r="F145" s="114">
        <v>0.2</v>
      </c>
      <c r="G145" s="112">
        <f t="shared" si="7"/>
        <v>229.9</v>
      </c>
      <c r="H145" s="115"/>
      <c r="I145" s="113">
        <f>229.88+G145</f>
        <v>459.78</v>
      </c>
      <c r="J145" s="112"/>
      <c r="K145" s="112">
        <f t="shared" si="8"/>
        <v>689.72</v>
      </c>
    </row>
    <row r="146" spans="1:11" s="131" customFormat="1" ht="12" customHeight="1" x14ac:dyDescent="0.25">
      <c r="A146" s="109" t="s">
        <v>15</v>
      </c>
      <c r="B146" s="110" t="s">
        <v>72</v>
      </c>
      <c r="C146" s="111"/>
      <c r="D146" s="112">
        <v>5627.65</v>
      </c>
      <c r="E146" s="136"/>
      <c r="F146" s="114"/>
      <c r="G146" s="112"/>
      <c r="H146" s="115">
        <v>844.14</v>
      </c>
      <c r="I146" s="113"/>
      <c r="J146" s="112"/>
      <c r="K146" s="112"/>
    </row>
    <row r="147" spans="1:11" s="131" customFormat="1" ht="12" customHeight="1" x14ac:dyDescent="0.25">
      <c r="A147" s="109" t="s">
        <v>15</v>
      </c>
      <c r="B147" s="110" t="s">
        <v>20</v>
      </c>
      <c r="C147" s="111"/>
      <c r="D147" s="112">
        <v>-4327.96</v>
      </c>
      <c r="E147" s="136">
        <f>D146+D147</f>
        <v>1299.6899999999996</v>
      </c>
      <c r="F147" s="114">
        <v>0.2</v>
      </c>
      <c r="G147" s="112">
        <f>E147*F147</f>
        <v>259.93799999999993</v>
      </c>
      <c r="H147" s="115">
        <v>-649.20000000000005</v>
      </c>
      <c r="I147" s="113">
        <f>H146+H147+G147</f>
        <v>454.87799999999987</v>
      </c>
      <c r="J147" s="112"/>
      <c r="K147" s="112">
        <f t="shared" si="8"/>
        <v>844.81199999999967</v>
      </c>
    </row>
    <row r="148" spans="1:11" s="131" customFormat="1" ht="12" customHeight="1" x14ac:dyDescent="0.25">
      <c r="A148" s="109" t="s">
        <v>15</v>
      </c>
      <c r="B148" s="110" t="s">
        <v>73</v>
      </c>
      <c r="C148" s="111"/>
      <c r="D148" s="112"/>
      <c r="E148" s="136">
        <v>693.74</v>
      </c>
      <c r="F148" s="114">
        <v>0.2</v>
      </c>
      <c r="G148" s="112">
        <f t="shared" si="7"/>
        <v>138.74800000000002</v>
      </c>
      <c r="H148" s="115"/>
      <c r="I148" s="113">
        <f>104.07+G148</f>
        <v>242.81800000000001</v>
      </c>
      <c r="J148" s="112"/>
      <c r="K148" s="112">
        <f t="shared" si="8"/>
        <v>450.92200000000003</v>
      </c>
    </row>
    <row r="149" spans="1:11" s="131" customFormat="1" ht="12" customHeight="1" x14ac:dyDescent="0.25">
      <c r="A149" s="109" t="s">
        <v>15</v>
      </c>
      <c r="B149" s="110" t="s">
        <v>50</v>
      </c>
      <c r="C149" s="111"/>
      <c r="D149" s="112"/>
      <c r="E149" s="136">
        <v>7464.43</v>
      </c>
      <c r="F149" s="114">
        <v>0.2</v>
      </c>
      <c r="G149" s="112">
        <f t="shared" si="7"/>
        <v>1492.8860000000002</v>
      </c>
      <c r="H149" s="115"/>
      <c r="I149" s="113">
        <f>1119.66+G149</f>
        <v>2612.5460000000003</v>
      </c>
      <c r="J149" s="112"/>
      <c r="K149" s="112">
        <f t="shared" si="8"/>
        <v>4851.884</v>
      </c>
    </row>
    <row r="150" spans="1:11" s="131" customFormat="1" ht="12" customHeight="1" x14ac:dyDescent="0.25">
      <c r="A150" s="109" t="s">
        <v>15</v>
      </c>
      <c r="B150" s="110" t="s">
        <v>74</v>
      </c>
      <c r="C150" s="111"/>
      <c r="D150" s="112">
        <v>21901</v>
      </c>
      <c r="E150" s="136"/>
      <c r="F150" s="114"/>
      <c r="G150" s="112"/>
      <c r="H150" s="115">
        <v>3285.15</v>
      </c>
      <c r="I150" s="113"/>
      <c r="J150" s="112"/>
      <c r="K150" s="112"/>
    </row>
    <row r="151" spans="1:11" s="131" customFormat="1" ht="12" customHeight="1" x14ac:dyDescent="0.25">
      <c r="A151" s="109" t="s">
        <v>15</v>
      </c>
      <c r="B151" s="110" t="s">
        <v>107</v>
      </c>
      <c r="C151" s="111"/>
      <c r="D151" s="112">
        <v>-7469.34</v>
      </c>
      <c r="E151" s="136">
        <f>D150+D151</f>
        <v>14431.66</v>
      </c>
      <c r="F151" s="114">
        <v>0.2</v>
      </c>
      <c r="G151" s="112">
        <f t="shared" si="7"/>
        <v>2886.3320000000003</v>
      </c>
      <c r="H151" s="115">
        <v>-1120.4100000000001</v>
      </c>
      <c r="I151" s="113">
        <f>H150+H151+G151</f>
        <v>5051.0720000000001</v>
      </c>
      <c r="J151" s="112"/>
      <c r="K151" s="112">
        <f t="shared" si="8"/>
        <v>9380.5879999999997</v>
      </c>
    </row>
    <row r="152" spans="1:11" s="131" customFormat="1" ht="12" customHeight="1" x14ac:dyDescent="0.25">
      <c r="A152" s="109" t="s">
        <v>15</v>
      </c>
      <c r="B152" s="110" t="s">
        <v>75</v>
      </c>
      <c r="C152" s="111"/>
      <c r="D152" s="112"/>
      <c r="E152" s="136">
        <v>7419.72</v>
      </c>
      <c r="F152" s="114">
        <v>0.2</v>
      </c>
      <c r="G152" s="112">
        <f t="shared" si="7"/>
        <v>1483.9440000000002</v>
      </c>
      <c r="H152" s="115"/>
      <c r="I152" s="113">
        <f>1112.97+G152</f>
        <v>2596.9140000000002</v>
      </c>
      <c r="J152" s="112"/>
      <c r="K152" s="112">
        <f t="shared" si="8"/>
        <v>4822.8060000000005</v>
      </c>
    </row>
    <row r="153" spans="1:11" s="131" customFormat="1" ht="12" customHeight="1" x14ac:dyDescent="0.25">
      <c r="A153" s="109" t="s">
        <v>15</v>
      </c>
      <c r="B153" s="110" t="s">
        <v>76</v>
      </c>
      <c r="C153" s="111"/>
      <c r="D153" s="112"/>
      <c r="E153" s="136">
        <v>1040.5999999999999</v>
      </c>
      <c r="F153" s="114">
        <v>0.2</v>
      </c>
      <c r="G153" s="112">
        <f t="shared" si="7"/>
        <v>208.12</v>
      </c>
      <c r="H153" s="115"/>
      <c r="I153" s="113">
        <f>156.09+G153</f>
        <v>364.21000000000004</v>
      </c>
      <c r="J153" s="112"/>
      <c r="K153" s="112">
        <f t="shared" si="8"/>
        <v>676.38999999999987</v>
      </c>
    </row>
    <row r="154" spans="1:11" s="131" customFormat="1" ht="12" customHeight="1" x14ac:dyDescent="0.25">
      <c r="A154" s="109" t="s">
        <v>15</v>
      </c>
      <c r="B154" s="110" t="s">
        <v>77</v>
      </c>
      <c r="C154" s="111"/>
      <c r="D154" s="112">
        <v>810.7</v>
      </c>
      <c r="E154" s="136"/>
      <c r="F154" s="114"/>
      <c r="G154" s="112"/>
      <c r="H154" s="115">
        <v>121.62</v>
      </c>
      <c r="I154" s="113"/>
      <c r="J154" s="112"/>
      <c r="K154" s="112"/>
    </row>
    <row r="155" spans="1:11" s="131" customFormat="1" ht="12" customHeight="1" x14ac:dyDescent="0.25">
      <c r="A155" s="109" t="s">
        <v>15</v>
      </c>
      <c r="B155" s="110" t="s">
        <v>20</v>
      </c>
      <c r="C155" s="111"/>
      <c r="D155" s="112">
        <v>-612</v>
      </c>
      <c r="E155" s="136">
        <f>D154+D155</f>
        <v>198.70000000000005</v>
      </c>
      <c r="F155" s="114">
        <v>0.2</v>
      </c>
      <c r="G155" s="112">
        <f t="shared" si="7"/>
        <v>39.740000000000009</v>
      </c>
      <c r="H155" s="115">
        <v>-91.8</v>
      </c>
      <c r="I155" s="113">
        <f>H154+H155+G155</f>
        <v>69.560000000000016</v>
      </c>
      <c r="J155" s="112"/>
      <c r="K155" s="112">
        <f t="shared" si="8"/>
        <v>129.14000000000004</v>
      </c>
    </row>
    <row r="156" spans="1:11" ht="12" customHeight="1" x14ac:dyDescent="0.25">
      <c r="A156" s="17" t="s">
        <v>15</v>
      </c>
      <c r="B156" s="5" t="s">
        <v>78</v>
      </c>
      <c r="C156" s="4"/>
      <c r="D156" s="20"/>
      <c r="E156" s="103">
        <v>67.78</v>
      </c>
      <c r="F156" s="76">
        <v>0.2</v>
      </c>
      <c r="G156" s="20">
        <f t="shared" si="7"/>
        <v>13.556000000000001</v>
      </c>
      <c r="H156" s="22"/>
      <c r="I156" s="21">
        <f>10.17+G156</f>
        <v>23.725999999999999</v>
      </c>
      <c r="J156" s="20"/>
      <c r="K156" s="20">
        <f t="shared" si="8"/>
        <v>44.054000000000002</v>
      </c>
    </row>
    <row r="157" spans="1:11" ht="12" customHeight="1" x14ac:dyDescent="0.25">
      <c r="A157" s="17" t="s">
        <v>15</v>
      </c>
      <c r="B157" s="5" t="s">
        <v>79</v>
      </c>
      <c r="C157" s="4"/>
      <c r="D157" s="20"/>
      <c r="E157" s="103">
        <v>4684.8</v>
      </c>
      <c r="F157" s="76">
        <v>0.2</v>
      </c>
      <c r="G157" s="20">
        <f t="shared" si="7"/>
        <v>936.96</v>
      </c>
      <c r="H157" s="22"/>
      <c r="I157" s="21">
        <f>702.72+G157</f>
        <v>1639.68</v>
      </c>
      <c r="J157" s="20"/>
      <c r="K157" s="20">
        <f t="shared" si="8"/>
        <v>3045.12</v>
      </c>
    </row>
    <row r="158" spans="1:11" ht="12" customHeight="1" x14ac:dyDescent="0.25">
      <c r="A158" s="17" t="s">
        <v>15</v>
      </c>
      <c r="B158" s="5" t="s">
        <v>80</v>
      </c>
      <c r="C158" s="4"/>
      <c r="D158" s="20"/>
      <c r="E158" s="103">
        <v>4000</v>
      </c>
      <c r="F158" s="76">
        <v>0.2</v>
      </c>
      <c r="G158" s="20">
        <f t="shared" si="7"/>
        <v>800</v>
      </c>
      <c r="H158" s="22"/>
      <c r="I158" s="21">
        <f>600+G158</f>
        <v>1400</v>
      </c>
      <c r="J158" s="20"/>
      <c r="K158" s="20">
        <f t="shared" si="8"/>
        <v>2600</v>
      </c>
    </row>
    <row r="159" spans="1:11" ht="12" customHeight="1" x14ac:dyDescent="0.25">
      <c r="A159" s="17" t="s">
        <v>15</v>
      </c>
      <c r="B159" s="5" t="s">
        <v>81</v>
      </c>
      <c r="C159" s="4"/>
      <c r="D159" s="20"/>
      <c r="E159" s="103">
        <v>509.62</v>
      </c>
      <c r="F159" s="76">
        <v>0.2</v>
      </c>
      <c r="G159" s="20">
        <f t="shared" si="7"/>
        <v>101.92400000000001</v>
      </c>
      <c r="H159" s="22"/>
      <c r="I159" s="21">
        <f>76.44+G159</f>
        <v>178.364</v>
      </c>
      <c r="J159" s="20"/>
      <c r="K159" s="20">
        <f t="shared" si="8"/>
        <v>331.25599999999997</v>
      </c>
    </row>
    <row r="160" spans="1:11" ht="12" customHeight="1" x14ac:dyDescent="0.25">
      <c r="A160" s="17" t="s">
        <v>15</v>
      </c>
      <c r="B160" s="5" t="s">
        <v>82</v>
      </c>
      <c r="C160" s="4"/>
      <c r="D160" s="20">
        <v>5490</v>
      </c>
      <c r="E160" s="103"/>
      <c r="F160" s="76"/>
      <c r="G160" s="20"/>
      <c r="H160" s="22">
        <v>823.5</v>
      </c>
      <c r="I160" s="21"/>
      <c r="J160" s="20"/>
      <c r="K160" s="20"/>
    </row>
    <row r="161" spans="1:11" s="131" customFormat="1" ht="12" customHeight="1" x14ac:dyDescent="0.25">
      <c r="A161" s="109" t="s">
        <v>15</v>
      </c>
      <c r="B161" s="110" t="s">
        <v>20</v>
      </c>
      <c r="C161" s="111"/>
      <c r="D161" s="112">
        <v>-1800</v>
      </c>
      <c r="E161" s="136">
        <f>D160+D161</f>
        <v>3690</v>
      </c>
      <c r="F161" s="114">
        <v>0.2</v>
      </c>
      <c r="G161" s="112">
        <f t="shared" si="7"/>
        <v>738</v>
      </c>
      <c r="H161" s="115">
        <v>-245.85</v>
      </c>
      <c r="I161" s="113">
        <f>H160+H161+G161</f>
        <v>1315.65</v>
      </c>
      <c r="J161" s="112"/>
      <c r="K161" s="112">
        <f t="shared" si="8"/>
        <v>2374.35</v>
      </c>
    </row>
    <row r="162" spans="1:11" ht="12" customHeight="1" x14ac:dyDescent="0.25">
      <c r="A162" s="17" t="s">
        <v>15</v>
      </c>
      <c r="B162" s="5" t="s">
        <v>83</v>
      </c>
      <c r="C162" s="4"/>
      <c r="D162" s="20"/>
      <c r="E162" s="103">
        <v>16947.310000000001</v>
      </c>
      <c r="F162" s="76">
        <v>0.2</v>
      </c>
      <c r="G162" s="20">
        <f t="shared" si="7"/>
        <v>3389.4620000000004</v>
      </c>
      <c r="H162" s="22"/>
      <c r="I162" s="21">
        <f>0+G162</f>
        <v>3389.4620000000004</v>
      </c>
      <c r="J162" s="20"/>
      <c r="K162" s="20">
        <f t="shared" si="8"/>
        <v>13557.848000000002</v>
      </c>
    </row>
    <row r="163" spans="1:11" ht="12" customHeight="1" x14ac:dyDescent="0.25">
      <c r="A163" s="17" t="s">
        <v>15</v>
      </c>
      <c r="B163" s="5" t="s">
        <v>84</v>
      </c>
      <c r="C163" s="4"/>
      <c r="D163" s="20"/>
      <c r="E163" s="103">
        <v>7320</v>
      </c>
      <c r="F163" s="76">
        <v>0.2</v>
      </c>
      <c r="G163" s="20">
        <f t="shared" si="7"/>
        <v>1464</v>
      </c>
      <c r="H163" s="22"/>
      <c r="I163" s="21">
        <f t="shared" ref="I163:I166" si="9">0+G163</f>
        <v>1464</v>
      </c>
      <c r="J163" s="20"/>
      <c r="K163" s="20">
        <f t="shared" si="8"/>
        <v>5856</v>
      </c>
    </row>
    <row r="164" spans="1:11" ht="12" customHeight="1" x14ac:dyDescent="0.25">
      <c r="A164" s="17" t="s">
        <v>15</v>
      </c>
      <c r="B164" s="5" t="s">
        <v>84</v>
      </c>
      <c r="C164" s="4"/>
      <c r="D164" s="20"/>
      <c r="E164" s="103">
        <v>17080</v>
      </c>
      <c r="F164" s="76">
        <v>0.2</v>
      </c>
      <c r="G164" s="20">
        <f t="shared" ref="G164:G224" si="10">E164*F164</f>
        <v>3416</v>
      </c>
      <c r="H164" s="22"/>
      <c r="I164" s="21">
        <f t="shared" si="9"/>
        <v>3416</v>
      </c>
      <c r="J164" s="20"/>
      <c r="K164" s="20">
        <f t="shared" ref="K164:K224" si="11">E164-I164</f>
        <v>13664</v>
      </c>
    </row>
    <row r="165" spans="1:11" ht="12" customHeight="1" x14ac:dyDescent="0.25">
      <c r="A165" s="17" t="s">
        <v>15</v>
      </c>
      <c r="B165" s="5" t="s">
        <v>85</v>
      </c>
      <c r="C165" s="4"/>
      <c r="D165" s="20"/>
      <c r="E165" s="103">
        <v>405040</v>
      </c>
      <c r="F165" s="76">
        <v>0.2</v>
      </c>
      <c r="G165" s="20">
        <f t="shared" si="10"/>
        <v>81008</v>
      </c>
      <c r="H165" s="22"/>
      <c r="I165" s="21">
        <f t="shared" si="9"/>
        <v>81008</v>
      </c>
      <c r="J165" s="20"/>
      <c r="K165" s="20">
        <f t="shared" si="11"/>
        <v>324032</v>
      </c>
    </row>
    <row r="166" spans="1:11" ht="12" customHeight="1" x14ac:dyDescent="0.25">
      <c r="A166" s="17" t="s">
        <v>15</v>
      </c>
      <c r="B166" s="5" t="s">
        <v>86</v>
      </c>
      <c r="C166" s="4"/>
      <c r="D166" s="20"/>
      <c r="E166" s="103">
        <v>23774.1</v>
      </c>
      <c r="F166" s="76">
        <v>0.2</v>
      </c>
      <c r="G166" s="20">
        <f t="shared" si="10"/>
        <v>4754.82</v>
      </c>
      <c r="H166" s="22"/>
      <c r="I166" s="21">
        <f t="shared" si="9"/>
        <v>4754.82</v>
      </c>
      <c r="J166" s="20"/>
      <c r="K166" s="20">
        <f t="shared" si="11"/>
        <v>19019.28</v>
      </c>
    </row>
    <row r="167" spans="1:11" ht="12" customHeight="1" x14ac:dyDescent="0.25">
      <c r="A167" s="17" t="s">
        <v>15</v>
      </c>
      <c r="B167" s="5" t="s">
        <v>87</v>
      </c>
      <c r="C167" s="4"/>
      <c r="D167" s="20"/>
      <c r="E167" s="103">
        <f>4675-330</f>
        <v>4345</v>
      </c>
      <c r="F167" s="76">
        <v>0.2</v>
      </c>
      <c r="G167" s="20">
        <f t="shared" si="10"/>
        <v>869</v>
      </c>
      <c r="H167" s="22"/>
      <c r="I167" s="21">
        <f>1402.5-99+G167</f>
        <v>2172.5</v>
      </c>
      <c r="J167" s="20"/>
      <c r="K167" s="20">
        <f t="shared" si="11"/>
        <v>2172.5</v>
      </c>
    </row>
    <row r="168" spans="1:11" ht="12" customHeight="1" x14ac:dyDescent="0.25">
      <c r="A168" s="17" t="s">
        <v>15</v>
      </c>
      <c r="B168" s="5" t="s">
        <v>89</v>
      </c>
      <c r="C168" s="4"/>
      <c r="D168" s="20"/>
      <c r="E168" s="103">
        <v>721.68</v>
      </c>
      <c r="F168" s="76">
        <v>0.2</v>
      </c>
      <c r="G168" s="20">
        <f t="shared" si="10"/>
        <v>144.33599999999998</v>
      </c>
      <c r="H168" s="22"/>
      <c r="I168" s="21">
        <f>252.57+G168</f>
        <v>396.90599999999995</v>
      </c>
      <c r="J168" s="20"/>
      <c r="K168" s="20">
        <f t="shared" si="11"/>
        <v>324.774</v>
      </c>
    </row>
    <row r="169" spans="1:11" ht="12" customHeight="1" x14ac:dyDescent="0.25">
      <c r="A169" s="17" t="s">
        <v>15</v>
      </c>
      <c r="B169" s="5" t="s">
        <v>88</v>
      </c>
      <c r="C169" s="4"/>
      <c r="D169" s="20"/>
      <c r="E169" s="103">
        <v>365.22</v>
      </c>
      <c r="F169" s="76">
        <v>0.2</v>
      </c>
      <c r="G169" s="20">
        <f t="shared" si="10"/>
        <v>73.044000000000011</v>
      </c>
      <c r="H169" s="22"/>
      <c r="I169" s="21">
        <f>109.56+G169</f>
        <v>182.60400000000001</v>
      </c>
      <c r="J169" s="20"/>
      <c r="K169" s="20">
        <f t="shared" si="11"/>
        <v>182.61600000000001</v>
      </c>
    </row>
    <row r="170" spans="1:11" ht="12" customHeight="1" x14ac:dyDescent="0.25">
      <c r="A170" s="17" t="s">
        <v>15</v>
      </c>
      <c r="B170" s="5" t="s">
        <v>90</v>
      </c>
      <c r="C170" s="4"/>
      <c r="D170" s="20"/>
      <c r="E170" s="103">
        <v>450</v>
      </c>
      <c r="F170" s="76">
        <v>0.2</v>
      </c>
      <c r="G170" s="20">
        <f t="shared" si="10"/>
        <v>90</v>
      </c>
      <c r="H170" s="22"/>
      <c r="I170" s="21">
        <f>225+G170</f>
        <v>315</v>
      </c>
      <c r="J170" s="20"/>
      <c r="K170" s="20">
        <f t="shared" si="11"/>
        <v>135</v>
      </c>
    </row>
    <row r="171" spans="1:11" ht="12" customHeight="1" x14ac:dyDescent="0.25">
      <c r="A171" s="17" t="s">
        <v>15</v>
      </c>
      <c r="B171" s="5" t="s">
        <v>91</v>
      </c>
      <c r="C171" s="4"/>
      <c r="D171" s="20"/>
      <c r="E171" s="103">
        <v>1683.92</v>
      </c>
      <c r="F171" s="76">
        <v>0.2</v>
      </c>
      <c r="G171" s="20">
        <f t="shared" si="10"/>
        <v>336.78400000000005</v>
      </c>
      <c r="H171" s="22"/>
      <c r="I171" s="21">
        <f>589.39+G171</f>
        <v>926.17399999999998</v>
      </c>
      <c r="J171" s="20"/>
      <c r="K171" s="20">
        <f t="shared" si="11"/>
        <v>757.74600000000009</v>
      </c>
    </row>
    <row r="172" spans="1:11" ht="12" customHeight="1" x14ac:dyDescent="0.25">
      <c r="A172" s="17" t="s">
        <v>15</v>
      </c>
      <c r="B172" s="5" t="s">
        <v>92</v>
      </c>
      <c r="C172" s="4"/>
      <c r="D172" s="20"/>
      <c r="E172" s="103">
        <v>1050</v>
      </c>
      <c r="F172" s="76">
        <v>0.2</v>
      </c>
      <c r="G172" s="20">
        <f t="shared" si="10"/>
        <v>210</v>
      </c>
      <c r="H172" s="22"/>
      <c r="I172" s="21">
        <f>525+G172</f>
        <v>735</v>
      </c>
      <c r="J172" s="20"/>
      <c r="K172" s="20">
        <f t="shared" si="11"/>
        <v>315</v>
      </c>
    </row>
    <row r="173" spans="1:11" ht="12" customHeight="1" x14ac:dyDescent="0.25">
      <c r="A173" s="17" t="s">
        <v>15</v>
      </c>
      <c r="B173" s="5" t="s">
        <v>93</v>
      </c>
      <c r="C173" s="4"/>
      <c r="D173" s="20"/>
      <c r="E173" s="103">
        <v>1126.8</v>
      </c>
      <c r="F173" s="76">
        <v>0.2</v>
      </c>
      <c r="G173" s="20">
        <f t="shared" si="10"/>
        <v>225.36</v>
      </c>
      <c r="H173" s="22"/>
      <c r="I173" s="21">
        <f>563.4+G173</f>
        <v>788.76</v>
      </c>
      <c r="J173" s="20"/>
      <c r="K173" s="20">
        <f t="shared" si="11"/>
        <v>338.03999999999996</v>
      </c>
    </row>
    <row r="174" spans="1:11" ht="12" customHeight="1" x14ac:dyDescent="0.25">
      <c r="A174" s="17" t="s">
        <v>15</v>
      </c>
      <c r="B174" s="5" t="s">
        <v>94</v>
      </c>
      <c r="C174" s="4"/>
      <c r="D174" s="20"/>
      <c r="E174" s="103">
        <v>10080</v>
      </c>
      <c r="F174" s="76">
        <v>0.2</v>
      </c>
      <c r="G174" s="20">
        <f t="shared" si="10"/>
        <v>2016</v>
      </c>
      <c r="H174" s="22"/>
      <c r="I174" s="21">
        <f>5292+G174</f>
        <v>7308</v>
      </c>
      <c r="J174" s="20"/>
      <c r="K174" s="20">
        <f t="shared" si="11"/>
        <v>2772</v>
      </c>
    </row>
    <row r="175" spans="1:11" ht="12" customHeight="1" x14ac:dyDescent="0.25">
      <c r="A175" s="17" t="s">
        <v>15</v>
      </c>
      <c r="B175" s="5" t="s">
        <v>95</v>
      </c>
      <c r="C175" s="4"/>
      <c r="D175" s="20"/>
      <c r="E175" s="103">
        <v>909.6</v>
      </c>
      <c r="F175" s="76">
        <v>0.2</v>
      </c>
      <c r="G175" s="20">
        <f t="shared" si="10"/>
        <v>181.92000000000002</v>
      </c>
      <c r="H175" s="22"/>
      <c r="I175" s="21">
        <f>477.54+G175</f>
        <v>659.46</v>
      </c>
      <c r="J175" s="20"/>
      <c r="K175" s="20">
        <f t="shared" si="11"/>
        <v>250.14</v>
      </c>
    </row>
    <row r="176" spans="1:11" ht="12" customHeight="1" x14ac:dyDescent="0.25">
      <c r="A176" s="17" t="s">
        <v>15</v>
      </c>
      <c r="B176" s="5" t="s">
        <v>96</v>
      </c>
      <c r="C176" s="4"/>
      <c r="D176" s="20"/>
      <c r="E176" s="103">
        <v>971.04</v>
      </c>
      <c r="F176" s="76">
        <v>0.2</v>
      </c>
      <c r="G176" s="20">
        <f t="shared" si="10"/>
        <v>194.208</v>
      </c>
      <c r="H176" s="22"/>
      <c r="I176" s="21">
        <f>509.79+G176</f>
        <v>703.99800000000005</v>
      </c>
      <c r="J176" s="20"/>
      <c r="K176" s="20">
        <f t="shared" si="11"/>
        <v>267.04199999999992</v>
      </c>
    </row>
    <row r="177" spans="1:11" ht="12" customHeight="1" x14ac:dyDescent="0.25">
      <c r="A177" s="17" t="s">
        <v>15</v>
      </c>
      <c r="B177" s="5" t="s">
        <v>97</v>
      </c>
      <c r="C177" s="4"/>
      <c r="D177" s="20"/>
      <c r="E177" s="103">
        <v>144</v>
      </c>
      <c r="F177" s="76">
        <v>0.2</v>
      </c>
      <c r="G177" s="20">
        <f t="shared" si="10"/>
        <v>28.8</v>
      </c>
      <c r="H177" s="22"/>
      <c r="I177" s="21">
        <f>72+G177</f>
        <v>100.8</v>
      </c>
      <c r="J177" s="20"/>
      <c r="K177" s="20">
        <f t="shared" si="11"/>
        <v>43.2</v>
      </c>
    </row>
    <row r="178" spans="1:11" x14ac:dyDescent="0.25">
      <c r="A178" s="17" t="s">
        <v>15</v>
      </c>
      <c r="B178" s="5" t="s">
        <v>98</v>
      </c>
      <c r="C178" s="4"/>
      <c r="D178" s="20"/>
      <c r="E178" s="103">
        <v>540</v>
      </c>
      <c r="F178" s="76">
        <v>0.2</v>
      </c>
      <c r="G178" s="20">
        <f t="shared" si="10"/>
        <v>108</v>
      </c>
      <c r="H178" s="22"/>
      <c r="I178" s="21">
        <f>283.5+G178</f>
        <v>391.5</v>
      </c>
      <c r="J178" s="20"/>
      <c r="K178" s="20">
        <f t="shared" si="11"/>
        <v>148.5</v>
      </c>
    </row>
    <row r="179" spans="1:11" x14ac:dyDescent="0.25">
      <c r="A179" s="17" t="s">
        <v>15</v>
      </c>
      <c r="B179" s="5" t="s">
        <v>98</v>
      </c>
      <c r="C179" s="4"/>
      <c r="D179" s="20"/>
      <c r="E179" s="103">
        <v>540</v>
      </c>
      <c r="F179" s="76">
        <v>0.2</v>
      </c>
      <c r="G179" s="20">
        <f t="shared" si="10"/>
        <v>108</v>
      </c>
      <c r="H179" s="22"/>
      <c r="I179" s="21">
        <f>283.5+G179</f>
        <v>391.5</v>
      </c>
      <c r="J179" s="20"/>
      <c r="K179" s="20">
        <f t="shared" si="11"/>
        <v>148.5</v>
      </c>
    </row>
    <row r="180" spans="1:11" x14ac:dyDescent="0.25">
      <c r="A180" s="17" t="s">
        <v>15</v>
      </c>
      <c r="B180" s="5" t="s">
        <v>99</v>
      </c>
      <c r="C180" s="4"/>
      <c r="D180" s="20"/>
      <c r="E180" s="103">
        <v>8675.35</v>
      </c>
      <c r="F180" s="76">
        <v>0.2</v>
      </c>
      <c r="G180" s="20">
        <f t="shared" si="10"/>
        <v>1735.0700000000002</v>
      </c>
      <c r="H180" s="22"/>
      <c r="I180" s="21">
        <f>4554.56+G180</f>
        <v>6289.630000000001</v>
      </c>
      <c r="J180" s="20"/>
      <c r="K180" s="20">
        <f t="shared" si="11"/>
        <v>2385.7199999999993</v>
      </c>
    </row>
    <row r="181" spans="1:11" x14ac:dyDescent="0.25">
      <c r="A181" s="17" t="s">
        <v>15</v>
      </c>
      <c r="B181" s="5" t="s">
        <v>99</v>
      </c>
      <c r="C181" s="4"/>
      <c r="D181" s="20"/>
      <c r="E181" s="103">
        <v>26026.06</v>
      </c>
      <c r="F181" s="76">
        <v>0.2</v>
      </c>
      <c r="G181" s="20">
        <f t="shared" si="10"/>
        <v>5205.2120000000004</v>
      </c>
      <c r="H181" s="22"/>
      <c r="I181" s="21">
        <f>13663.68+G181</f>
        <v>18868.892</v>
      </c>
      <c r="J181" s="20"/>
      <c r="K181" s="20">
        <f t="shared" si="11"/>
        <v>7157.1680000000015</v>
      </c>
    </row>
    <row r="182" spans="1:11" x14ac:dyDescent="0.25">
      <c r="A182" s="17" t="s">
        <v>15</v>
      </c>
      <c r="B182" s="5" t="s">
        <v>99</v>
      </c>
      <c r="C182" s="4"/>
      <c r="D182" s="20"/>
      <c r="E182" s="103">
        <v>4345</v>
      </c>
      <c r="F182" s="76">
        <v>0.2</v>
      </c>
      <c r="G182" s="20">
        <f t="shared" si="10"/>
        <v>869</v>
      </c>
      <c r="H182" s="22"/>
      <c r="I182" s="21">
        <f>1303.5+G182</f>
        <v>2172.5</v>
      </c>
      <c r="J182" s="20"/>
      <c r="K182" s="20">
        <f t="shared" si="11"/>
        <v>2172.5</v>
      </c>
    </row>
    <row r="183" spans="1:11" x14ac:dyDescent="0.25">
      <c r="A183" s="17" t="s">
        <v>15</v>
      </c>
      <c r="B183" s="5" t="s">
        <v>100</v>
      </c>
      <c r="C183" s="4"/>
      <c r="D183" s="20"/>
      <c r="E183" s="103">
        <v>6960</v>
      </c>
      <c r="F183" s="76">
        <v>0.2</v>
      </c>
      <c r="G183" s="20">
        <f t="shared" si="10"/>
        <v>1392</v>
      </c>
      <c r="H183" s="22"/>
      <c r="I183" s="21">
        <f>3654+G183</f>
        <v>5046</v>
      </c>
      <c r="J183" s="20"/>
      <c r="K183" s="20">
        <f t="shared" si="11"/>
        <v>1914</v>
      </c>
    </row>
    <row r="184" spans="1:11" x14ac:dyDescent="0.25">
      <c r="A184" s="17" t="s">
        <v>15</v>
      </c>
      <c r="B184" s="5" t="s">
        <v>101</v>
      </c>
      <c r="C184" s="4"/>
      <c r="D184" s="20"/>
      <c r="E184" s="103">
        <v>10920</v>
      </c>
      <c r="F184" s="76">
        <v>0.2</v>
      </c>
      <c r="G184" s="20">
        <f t="shared" si="10"/>
        <v>2184</v>
      </c>
      <c r="H184" s="22"/>
      <c r="I184" s="21">
        <f>5733+G184</f>
        <v>7917</v>
      </c>
      <c r="J184" s="20"/>
      <c r="K184" s="20">
        <f t="shared" si="11"/>
        <v>3003</v>
      </c>
    </row>
    <row r="185" spans="1:11" x14ac:dyDescent="0.25">
      <c r="A185" s="17" t="s">
        <v>15</v>
      </c>
      <c r="B185" s="5" t="s">
        <v>102</v>
      </c>
      <c r="C185" s="4"/>
      <c r="D185" s="20"/>
      <c r="E185" s="103">
        <v>1467.79</v>
      </c>
      <c r="F185" s="76">
        <v>0.2</v>
      </c>
      <c r="G185" s="20">
        <f t="shared" si="10"/>
        <v>293.55799999999999</v>
      </c>
      <c r="H185" s="22"/>
      <c r="I185" s="21">
        <f>770.59+G185</f>
        <v>1064.1480000000001</v>
      </c>
      <c r="J185" s="20"/>
      <c r="K185" s="20">
        <f t="shared" si="11"/>
        <v>403.64199999999983</v>
      </c>
    </row>
    <row r="186" spans="1:11" x14ac:dyDescent="0.25">
      <c r="A186" s="17" t="s">
        <v>15</v>
      </c>
      <c r="B186" s="5" t="s">
        <v>103</v>
      </c>
      <c r="C186" s="4"/>
      <c r="D186" s="20"/>
      <c r="E186" s="103">
        <v>992.4</v>
      </c>
      <c r="F186" s="76">
        <v>0.2</v>
      </c>
      <c r="G186" s="20">
        <f t="shared" si="10"/>
        <v>198.48000000000002</v>
      </c>
      <c r="H186" s="22"/>
      <c r="I186" s="21">
        <f>396.96+G186</f>
        <v>595.44000000000005</v>
      </c>
      <c r="J186" s="20"/>
      <c r="K186" s="20">
        <f t="shared" si="11"/>
        <v>396.95999999999992</v>
      </c>
    </row>
    <row r="187" spans="1:11" x14ac:dyDescent="0.25">
      <c r="A187" s="17" t="s">
        <v>15</v>
      </c>
      <c r="B187" s="5" t="s">
        <v>104</v>
      </c>
      <c r="C187" s="4"/>
      <c r="D187" s="20"/>
      <c r="E187" s="103">
        <v>660</v>
      </c>
      <c r="F187" s="76">
        <v>0.2</v>
      </c>
      <c r="G187" s="20">
        <f t="shared" si="10"/>
        <v>132</v>
      </c>
      <c r="H187" s="22"/>
      <c r="I187" s="21">
        <f>198+G187</f>
        <v>330</v>
      </c>
      <c r="J187" s="20"/>
      <c r="K187" s="20">
        <f t="shared" si="11"/>
        <v>330</v>
      </c>
    </row>
    <row r="188" spans="1:11" x14ac:dyDescent="0.25">
      <c r="A188" s="17" t="s">
        <v>15</v>
      </c>
      <c r="B188" s="5" t="s">
        <v>105</v>
      </c>
      <c r="C188" s="4"/>
      <c r="D188" s="20"/>
      <c r="E188" s="103">
        <v>3780</v>
      </c>
      <c r="F188" s="76">
        <v>0.2</v>
      </c>
      <c r="G188" s="20">
        <f t="shared" si="10"/>
        <v>756</v>
      </c>
      <c r="H188" s="22"/>
      <c r="I188" s="21">
        <f>1134+G188</f>
        <v>1890</v>
      </c>
      <c r="J188" s="20"/>
      <c r="K188" s="20">
        <f t="shared" si="11"/>
        <v>1890</v>
      </c>
    </row>
    <row r="189" spans="1:11" x14ac:dyDescent="0.25">
      <c r="A189" s="17" t="s">
        <v>15</v>
      </c>
      <c r="B189" s="5" t="s">
        <v>106</v>
      </c>
      <c r="C189" s="4"/>
      <c r="D189" s="20"/>
      <c r="E189" s="103">
        <v>360</v>
      </c>
      <c r="F189" s="76">
        <v>0.2</v>
      </c>
      <c r="G189" s="20">
        <f t="shared" si="10"/>
        <v>72</v>
      </c>
      <c r="H189" s="22"/>
      <c r="I189" s="21">
        <f>108+G189</f>
        <v>180</v>
      </c>
      <c r="J189" s="20"/>
      <c r="K189" s="20">
        <f t="shared" si="11"/>
        <v>180</v>
      </c>
    </row>
    <row r="190" spans="1:11" x14ac:dyDescent="0.25">
      <c r="A190" s="46" t="s">
        <v>15</v>
      </c>
      <c r="B190" s="5" t="s">
        <v>108</v>
      </c>
      <c r="C190" s="4"/>
      <c r="D190" s="20"/>
      <c r="E190" s="103">
        <v>16919.13</v>
      </c>
      <c r="F190" s="76">
        <v>0.2</v>
      </c>
      <c r="G190" s="20">
        <f t="shared" si="10"/>
        <v>3383.8260000000005</v>
      </c>
      <c r="H190" s="22"/>
      <c r="I190" s="21">
        <f>11843.41+G190</f>
        <v>15227.236000000001</v>
      </c>
      <c r="J190" s="20"/>
      <c r="K190" s="20">
        <f t="shared" si="11"/>
        <v>1691.8940000000002</v>
      </c>
    </row>
    <row r="191" spans="1:11" x14ac:dyDescent="0.25">
      <c r="A191" s="46" t="s">
        <v>15</v>
      </c>
      <c r="B191" s="5" t="s">
        <v>109</v>
      </c>
      <c r="C191" s="4"/>
      <c r="D191" s="20"/>
      <c r="E191" s="103">
        <v>185.92</v>
      </c>
      <c r="F191" s="76">
        <v>0.2</v>
      </c>
      <c r="G191" s="20">
        <f t="shared" si="10"/>
        <v>37.183999999999997</v>
      </c>
      <c r="H191" s="22"/>
      <c r="I191" s="21">
        <f>130.17+G191</f>
        <v>167.35399999999998</v>
      </c>
      <c r="J191" s="20"/>
      <c r="K191" s="20">
        <f t="shared" si="11"/>
        <v>18.566000000000003</v>
      </c>
    </row>
    <row r="192" spans="1:11" x14ac:dyDescent="0.25">
      <c r="A192" s="46" t="s">
        <v>15</v>
      </c>
      <c r="B192" s="5" t="s">
        <v>110</v>
      </c>
      <c r="C192" s="4"/>
      <c r="D192" s="20"/>
      <c r="E192" s="103">
        <v>28551.43</v>
      </c>
      <c r="F192" s="76">
        <v>0.2</v>
      </c>
      <c r="G192" s="20">
        <f t="shared" si="10"/>
        <v>5710.2860000000001</v>
      </c>
      <c r="H192" s="22"/>
      <c r="I192" s="21">
        <f>19986+G192</f>
        <v>25696.286</v>
      </c>
      <c r="J192" s="20"/>
      <c r="K192" s="20">
        <f t="shared" si="11"/>
        <v>2855.1440000000002</v>
      </c>
    </row>
    <row r="193" spans="1:11" x14ac:dyDescent="0.25">
      <c r="A193" s="46" t="s">
        <v>15</v>
      </c>
      <c r="B193" s="5" t="s">
        <v>111</v>
      </c>
      <c r="C193" s="4"/>
      <c r="D193" s="20"/>
      <c r="E193" s="103">
        <v>1502.89</v>
      </c>
      <c r="F193" s="76">
        <v>0.2</v>
      </c>
      <c r="G193" s="20">
        <f t="shared" si="10"/>
        <v>300.57800000000003</v>
      </c>
      <c r="H193" s="22"/>
      <c r="I193" s="21">
        <f>1051.99+G193</f>
        <v>1352.568</v>
      </c>
      <c r="J193" s="20"/>
      <c r="K193" s="20">
        <f t="shared" si="11"/>
        <v>150.32200000000012</v>
      </c>
    </row>
    <row r="194" spans="1:11" x14ac:dyDescent="0.25">
      <c r="A194" s="46" t="s">
        <v>15</v>
      </c>
      <c r="B194" s="5" t="s">
        <v>112</v>
      </c>
      <c r="C194" s="4"/>
      <c r="D194" s="20"/>
      <c r="E194" s="103">
        <v>999.94</v>
      </c>
      <c r="F194" s="76">
        <v>0.2</v>
      </c>
      <c r="G194" s="20">
        <f t="shared" si="10"/>
        <v>199.98800000000003</v>
      </c>
      <c r="H194" s="22"/>
      <c r="I194" s="21">
        <f>699.97+G194</f>
        <v>899.95800000000008</v>
      </c>
      <c r="J194" s="20"/>
      <c r="K194" s="20">
        <f t="shared" si="11"/>
        <v>99.981999999999971</v>
      </c>
    </row>
    <row r="195" spans="1:11" x14ac:dyDescent="0.25">
      <c r="A195" s="46" t="s">
        <v>15</v>
      </c>
      <c r="B195" s="5" t="s">
        <v>113</v>
      </c>
      <c r="C195" s="4"/>
      <c r="D195" s="20"/>
      <c r="E195" s="103">
        <v>2656.4</v>
      </c>
      <c r="F195" s="76">
        <v>0.2</v>
      </c>
      <c r="G195" s="20">
        <f t="shared" si="10"/>
        <v>531.28000000000009</v>
      </c>
      <c r="H195" s="22"/>
      <c r="I195" s="21">
        <f>1859.48+G195</f>
        <v>2390.7600000000002</v>
      </c>
      <c r="J195" s="20"/>
      <c r="K195" s="20">
        <f t="shared" si="11"/>
        <v>265.63999999999987</v>
      </c>
    </row>
    <row r="196" spans="1:11" x14ac:dyDescent="0.25">
      <c r="A196" s="46" t="s">
        <v>15</v>
      </c>
      <c r="B196" s="5" t="s">
        <v>114</v>
      </c>
      <c r="C196" s="4"/>
      <c r="D196" s="20"/>
      <c r="E196" s="103">
        <v>810</v>
      </c>
      <c r="F196" s="76">
        <v>0.2</v>
      </c>
      <c r="G196" s="20">
        <f t="shared" si="10"/>
        <v>162</v>
      </c>
      <c r="H196" s="22"/>
      <c r="I196" s="21">
        <f>506.25+G196</f>
        <v>668.25</v>
      </c>
      <c r="J196" s="20"/>
      <c r="K196" s="20">
        <f t="shared" si="11"/>
        <v>141.75</v>
      </c>
    </row>
    <row r="197" spans="1:11" x14ac:dyDescent="0.25">
      <c r="A197" s="46" t="s">
        <v>15</v>
      </c>
      <c r="B197" s="5" t="s">
        <v>115</v>
      </c>
      <c r="C197" s="4"/>
      <c r="D197" s="20"/>
      <c r="E197" s="103">
        <v>27129.41</v>
      </c>
      <c r="F197" s="76">
        <v>0.2</v>
      </c>
      <c r="G197" s="20">
        <f t="shared" si="10"/>
        <v>5425.8820000000005</v>
      </c>
      <c r="H197" s="22"/>
      <c r="I197" s="21">
        <f>16955.88+G197</f>
        <v>22381.762000000002</v>
      </c>
      <c r="J197" s="20"/>
      <c r="K197" s="20">
        <f t="shared" si="11"/>
        <v>4747.6479999999974</v>
      </c>
    </row>
    <row r="198" spans="1:11" x14ac:dyDescent="0.25">
      <c r="A198" s="46" t="s">
        <v>15</v>
      </c>
      <c r="B198" s="5" t="s">
        <v>116</v>
      </c>
      <c r="C198" s="4"/>
      <c r="D198" s="20"/>
      <c r="E198" s="103">
        <v>10800</v>
      </c>
      <c r="F198" s="76">
        <v>0.2</v>
      </c>
      <c r="G198" s="20">
        <f t="shared" si="10"/>
        <v>2160</v>
      </c>
      <c r="H198" s="22"/>
      <c r="I198" s="21">
        <f>6750+G198</f>
        <v>8910</v>
      </c>
      <c r="J198" s="20"/>
      <c r="K198" s="20">
        <f t="shared" si="11"/>
        <v>1890</v>
      </c>
    </row>
    <row r="199" spans="1:11" x14ac:dyDescent="0.25">
      <c r="A199" s="46" t="s">
        <v>15</v>
      </c>
      <c r="B199" s="5" t="s">
        <v>117</v>
      </c>
      <c r="C199" s="4"/>
      <c r="D199" s="20"/>
      <c r="E199" s="103">
        <v>1020.79</v>
      </c>
      <c r="F199" s="76">
        <v>0.2</v>
      </c>
      <c r="G199" s="20">
        <f t="shared" si="10"/>
        <v>204.15800000000002</v>
      </c>
      <c r="H199" s="22"/>
      <c r="I199" s="21">
        <f>638+G199</f>
        <v>842.15800000000002</v>
      </c>
      <c r="J199" s="20"/>
      <c r="K199" s="20">
        <f t="shared" si="11"/>
        <v>178.63199999999995</v>
      </c>
    </row>
    <row r="200" spans="1:11" x14ac:dyDescent="0.25">
      <c r="A200" s="46" t="s">
        <v>15</v>
      </c>
      <c r="B200" s="5" t="s">
        <v>118</v>
      </c>
      <c r="C200" s="4"/>
      <c r="D200" s="20"/>
      <c r="E200" s="103">
        <v>2161.5</v>
      </c>
      <c r="F200" s="76">
        <v>0.2</v>
      </c>
      <c r="G200" s="20">
        <f t="shared" si="10"/>
        <v>432.3</v>
      </c>
      <c r="H200" s="22"/>
      <c r="I200" s="21">
        <f>1134.72+G200</f>
        <v>1567.02</v>
      </c>
      <c r="J200" s="20"/>
      <c r="K200" s="20">
        <f t="shared" si="11"/>
        <v>594.48</v>
      </c>
    </row>
    <row r="201" spans="1:11" x14ac:dyDescent="0.25">
      <c r="A201" s="46" t="s">
        <v>15</v>
      </c>
      <c r="B201" s="5" t="s">
        <v>119</v>
      </c>
      <c r="C201" s="4"/>
      <c r="D201" s="20"/>
      <c r="E201" s="103">
        <v>12960</v>
      </c>
      <c r="F201" s="76">
        <v>0.2</v>
      </c>
      <c r="G201" s="20">
        <f t="shared" si="10"/>
        <v>2592</v>
      </c>
      <c r="H201" s="22"/>
      <c r="I201" s="21">
        <f>6804+G201</f>
        <v>9396</v>
      </c>
      <c r="J201" s="20"/>
      <c r="K201" s="20">
        <f t="shared" si="11"/>
        <v>3564</v>
      </c>
    </row>
    <row r="202" spans="1:11" x14ac:dyDescent="0.25">
      <c r="A202" s="46" t="s">
        <v>15</v>
      </c>
      <c r="B202" s="5" t="s">
        <v>120</v>
      </c>
      <c r="C202" s="4"/>
      <c r="D202" s="20"/>
      <c r="E202" s="103">
        <v>7200</v>
      </c>
      <c r="F202" s="76">
        <v>0.2</v>
      </c>
      <c r="G202" s="20">
        <f t="shared" si="10"/>
        <v>1440</v>
      </c>
      <c r="H202" s="22"/>
      <c r="I202" s="21">
        <f>3780+G202</f>
        <v>5220</v>
      </c>
      <c r="J202" s="20"/>
      <c r="K202" s="20">
        <f t="shared" si="11"/>
        <v>1980</v>
      </c>
    </row>
    <row r="203" spans="1:11" x14ac:dyDescent="0.25">
      <c r="A203" s="46" t="s">
        <v>15</v>
      </c>
      <c r="B203" s="5" t="s">
        <v>121</v>
      </c>
      <c r="C203" s="4"/>
      <c r="D203" s="20"/>
      <c r="E203" s="103">
        <v>34640.21</v>
      </c>
      <c r="F203" s="76">
        <v>0.2</v>
      </c>
      <c r="G203" s="20">
        <f t="shared" si="10"/>
        <v>6928.0420000000004</v>
      </c>
      <c r="H203" s="22"/>
      <c r="I203" s="21">
        <f>18186.34+G203</f>
        <v>25114.382000000001</v>
      </c>
      <c r="J203" s="20"/>
      <c r="K203" s="20">
        <f t="shared" si="11"/>
        <v>9525.8279999999977</v>
      </c>
    </row>
    <row r="204" spans="1:11" x14ac:dyDescent="0.25">
      <c r="A204" s="46" t="s">
        <v>15</v>
      </c>
      <c r="B204" s="5" t="s">
        <v>122</v>
      </c>
      <c r="C204" s="4"/>
      <c r="D204" s="20"/>
      <c r="E204" s="103">
        <v>2067.9</v>
      </c>
      <c r="F204" s="76">
        <v>0.2</v>
      </c>
      <c r="G204" s="20">
        <f t="shared" si="10"/>
        <v>413.58000000000004</v>
      </c>
      <c r="H204" s="22"/>
      <c r="I204" s="21">
        <f>1085.7+G204</f>
        <v>1499.2800000000002</v>
      </c>
      <c r="J204" s="20"/>
      <c r="K204" s="20">
        <f t="shared" si="11"/>
        <v>568.61999999999989</v>
      </c>
    </row>
    <row r="205" spans="1:11" x14ac:dyDescent="0.25">
      <c r="A205" s="46" t="s">
        <v>15</v>
      </c>
      <c r="B205" s="5" t="s">
        <v>123</v>
      </c>
      <c r="C205" s="4"/>
      <c r="D205" s="20"/>
      <c r="E205" s="103">
        <v>1234.01</v>
      </c>
      <c r="F205" s="76">
        <v>0.2</v>
      </c>
      <c r="G205" s="20">
        <f t="shared" si="10"/>
        <v>246.80200000000002</v>
      </c>
      <c r="H205" s="22"/>
      <c r="I205" s="21">
        <f>647.85+G205</f>
        <v>894.65200000000004</v>
      </c>
      <c r="J205" s="20"/>
      <c r="K205" s="20">
        <f t="shared" si="11"/>
        <v>339.35799999999995</v>
      </c>
    </row>
    <row r="206" spans="1:11" x14ac:dyDescent="0.25">
      <c r="A206" s="46" t="s">
        <v>15</v>
      </c>
      <c r="B206" s="5" t="s">
        <v>124</v>
      </c>
      <c r="C206" s="4"/>
      <c r="D206" s="20"/>
      <c r="E206" s="103">
        <v>1010.4</v>
      </c>
      <c r="F206" s="76">
        <v>0.2</v>
      </c>
      <c r="G206" s="20">
        <f t="shared" si="10"/>
        <v>202.08</v>
      </c>
      <c r="H206" s="22"/>
      <c r="I206" s="21">
        <f>530.46+G206</f>
        <v>732.54000000000008</v>
      </c>
      <c r="J206" s="20"/>
      <c r="K206" s="20">
        <f t="shared" si="11"/>
        <v>277.8599999999999</v>
      </c>
    </row>
    <row r="207" spans="1:11" x14ac:dyDescent="0.25">
      <c r="A207" s="46" t="s">
        <v>15</v>
      </c>
      <c r="B207" s="5" t="s">
        <v>125</v>
      </c>
      <c r="C207" s="4"/>
      <c r="D207" s="20"/>
      <c r="E207" s="103">
        <v>1257.5999999999999</v>
      </c>
      <c r="F207" s="76">
        <v>0.2</v>
      </c>
      <c r="G207" s="20">
        <f t="shared" si="10"/>
        <v>251.51999999999998</v>
      </c>
      <c r="H207" s="22"/>
      <c r="I207" s="21">
        <f>660.24+G207</f>
        <v>911.76</v>
      </c>
      <c r="J207" s="20"/>
      <c r="K207" s="20">
        <f t="shared" si="11"/>
        <v>345.83999999999992</v>
      </c>
    </row>
    <row r="208" spans="1:11" x14ac:dyDescent="0.25">
      <c r="A208" s="46" t="s">
        <v>15</v>
      </c>
      <c r="B208" s="5" t="s">
        <v>126</v>
      </c>
      <c r="C208" s="4"/>
      <c r="D208" s="20"/>
      <c r="E208" s="103">
        <v>912.98</v>
      </c>
      <c r="F208" s="76">
        <v>0.2</v>
      </c>
      <c r="G208" s="20">
        <f t="shared" si="10"/>
        <v>182.596</v>
      </c>
      <c r="H208" s="22"/>
      <c r="I208" s="21">
        <f>479.32+G208</f>
        <v>661.91599999999994</v>
      </c>
      <c r="J208" s="20"/>
      <c r="K208" s="20">
        <f t="shared" si="11"/>
        <v>251.06400000000008</v>
      </c>
    </row>
    <row r="209" spans="1:11" x14ac:dyDescent="0.25">
      <c r="A209" s="46" t="s">
        <v>15</v>
      </c>
      <c r="B209" s="5" t="s">
        <v>127</v>
      </c>
      <c r="C209" s="4"/>
      <c r="D209" s="20"/>
      <c r="E209" s="103">
        <v>866.4</v>
      </c>
      <c r="F209" s="76">
        <v>0.2</v>
      </c>
      <c r="G209" s="20">
        <f t="shared" si="10"/>
        <v>173.28</v>
      </c>
      <c r="H209" s="22"/>
      <c r="I209" s="21">
        <f>454.86+G209</f>
        <v>628.14</v>
      </c>
      <c r="J209" s="20"/>
      <c r="K209" s="20">
        <f t="shared" si="11"/>
        <v>238.26</v>
      </c>
    </row>
    <row r="210" spans="1:11" x14ac:dyDescent="0.25">
      <c r="A210" s="46" t="s">
        <v>15</v>
      </c>
      <c r="B210" s="5" t="s">
        <v>128</v>
      </c>
      <c r="C210" s="4"/>
      <c r="D210" s="20"/>
      <c r="E210" s="103">
        <v>880.8</v>
      </c>
      <c r="F210" s="76">
        <v>0.2</v>
      </c>
      <c r="G210" s="20">
        <f t="shared" si="10"/>
        <v>176.16</v>
      </c>
      <c r="H210" s="22"/>
      <c r="I210" s="21">
        <f>418.38+G210</f>
        <v>594.54</v>
      </c>
      <c r="J210" s="20"/>
      <c r="K210" s="20">
        <f t="shared" si="11"/>
        <v>286.26</v>
      </c>
    </row>
    <row r="211" spans="1:11" x14ac:dyDescent="0.25">
      <c r="A211" s="46" t="s">
        <v>15</v>
      </c>
      <c r="B211" s="5" t="s">
        <v>129</v>
      </c>
      <c r="C211" s="4"/>
      <c r="D211" s="20"/>
      <c r="E211" s="103">
        <v>600</v>
      </c>
      <c r="F211" s="76">
        <v>0.2</v>
      </c>
      <c r="G211" s="20">
        <f t="shared" si="10"/>
        <v>120</v>
      </c>
      <c r="H211" s="22"/>
      <c r="I211" s="21">
        <f>285+G211</f>
        <v>405</v>
      </c>
      <c r="J211" s="20"/>
      <c r="K211" s="20">
        <f t="shared" si="11"/>
        <v>195</v>
      </c>
    </row>
    <row r="212" spans="1:11" x14ac:dyDescent="0.25">
      <c r="A212" s="46" t="s">
        <v>15</v>
      </c>
      <c r="B212" s="5" t="s">
        <v>131</v>
      </c>
      <c r="C212" s="4"/>
      <c r="D212" s="20"/>
      <c r="E212" s="103">
        <v>880.8</v>
      </c>
      <c r="F212" s="76">
        <v>0.2</v>
      </c>
      <c r="G212" s="20">
        <f t="shared" si="10"/>
        <v>176.16</v>
      </c>
      <c r="H212" s="22"/>
      <c r="I212" s="21">
        <f>418.38+G212</f>
        <v>594.54</v>
      </c>
      <c r="J212" s="20"/>
      <c r="K212" s="20">
        <f t="shared" si="11"/>
        <v>286.26</v>
      </c>
    </row>
    <row r="213" spans="1:11" x14ac:dyDescent="0.25">
      <c r="A213" s="46" t="s">
        <v>15</v>
      </c>
      <c r="B213" s="5" t="s">
        <v>130</v>
      </c>
      <c r="C213" s="4"/>
      <c r="D213" s="20"/>
      <c r="E213" s="103">
        <v>600</v>
      </c>
      <c r="F213" s="76">
        <v>0.2</v>
      </c>
      <c r="G213" s="20">
        <f t="shared" si="10"/>
        <v>120</v>
      </c>
      <c r="H213" s="22"/>
      <c r="I213" s="21">
        <f>285+G213</f>
        <v>405</v>
      </c>
      <c r="J213" s="20"/>
      <c r="K213" s="20">
        <f t="shared" si="11"/>
        <v>195</v>
      </c>
    </row>
    <row r="214" spans="1:11" x14ac:dyDescent="0.25">
      <c r="A214" s="46" t="s">
        <v>15</v>
      </c>
      <c r="B214" s="5" t="s">
        <v>132</v>
      </c>
      <c r="C214" s="4"/>
      <c r="D214" s="20"/>
      <c r="E214" s="103">
        <v>918.82</v>
      </c>
      <c r="F214" s="76">
        <v>0.2</v>
      </c>
      <c r="G214" s="20">
        <f t="shared" si="10"/>
        <v>183.76400000000001</v>
      </c>
      <c r="H214" s="22"/>
      <c r="I214" s="21">
        <f>459.4+G214</f>
        <v>643.16399999999999</v>
      </c>
      <c r="J214" s="20"/>
      <c r="K214" s="20">
        <f t="shared" si="11"/>
        <v>275.65600000000006</v>
      </c>
    </row>
    <row r="215" spans="1:11" x14ac:dyDescent="0.25">
      <c r="A215" s="46" t="s">
        <v>15</v>
      </c>
      <c r="B215" s="5" t="s">
        <v>133</v>
      </c>
      <c r="C215" s="4"/>
      <c r="D215" s="20"/>
      <c r="E215" s="103">
        <v>600</v>
      </c>
      <c r="F215" s="76">
        <v>0.2</v>
      </c>
      <c r="G215" s="20">
        <f t="shared" si="10"/>
        <v>120</v>
      </c>
      <c r="H215" s="22"/>
      <c r="I215" s="21">
        <f>300+G215</f>
        <v>420</v>
      </c>
      <c r="J215" s="20"/>
      <c r="K215" s="20">
        <f t="shared" si="11"/>
        <v>180</v>
      </c>
    </row>
    <row r="216" spans="1:11" x14ac:dyDescent="0.25">
      <c r="A216" s="46" t="s">
        <v>15</v>
      </c>
      <c r="B216" s="5" t="s">
        <v>134</v>
      </c>
      <c r="C216" s="4"/>
      <c r="D216" s="20"/>
      <c r="E216" s="103">
        <f>2161.5-540-540</f>
        <v>1081.5</v>
      </c>
      <c r="F216" s="76">
        <v>0.2</v>
      </c>
      <c r="G216" s="20">
        <f t="shared" si="10"/>
        <v>216.3</v>
      </c>
      <c r="H216" s="22"/>
      <c r="I216" s="21">
        <f>1134.74-283.5-283.5+G216</f>
        <v>784.04</v>
      </c>
      <c r="J216" s="20"/>
      <c r="K216" s="20">
        <f t="shared" si="11"/>
        <v>297.46000000000004</v>
      </c>
    </row>
    <row r="217" spans="1:11" x14ac:dyDescent="0.25">
      <c r="A217" s="46" t="s">
        <v>15</v>
      </c>
      <c r="B217" s="5" t="s">
        <v>135</v>
      </c>
      <c r="C217" s="4"/>
      <c r="D217" s="20"/>
      <c r="E217" s="103">
        <v>1169.74</v>
      </c>
      <c r="F217" s="76">
        <v>0.2</v>
      </c>
      <c r="G217" s="20">
        <f t="shared" si="10"/>
        <v>233.94800000000001</v>
      </c>
      <c r="H217" s="22"/>
      <c r="I217" s="21">
        <f>584.89+G217</f>
        <v>818.83799999999997</v>
      </c>
      <c r="J217" s="20"/>
      <c r="K217" s="20">
        <f t="shared" si="11"/>
        <v>350.90200000000004</v>
      </c>
    </row>
    <row r="218" spans="1:11" x14ac:dyDescent="0.25">
      <c r="A218" s="46" t="s">
        <v>15</v>
      </c>
      <c r="B218" s="5" t="s">
        <v>136</v>
      </c>
      <c r="C218" s="4"/>
      <c r="D218" s="20"/>
      <c r="E218" s="103">
        <v>541.26</v>
      </c>
      <c r="F218" s="76">
        <v>0.2</v>
      </c>
      <c r="G218" s="20">
        <f t="shared" si="10"/>
        <v>108.25200000000001</v>
      </c>
      <c r="H218" s="22"/>
      <c r="I218" s="21">
        <f>189.42+G218</f>
        <v>297.67200000000003</v>
      </c>
      <c r="J218" s="20"/>
      <c r="K218" s="20">
        <f t="shared" si="11"/>
        <v>243.58799999999997</v>
      </c>
    </row>
    <row r="219" spans="1:11" x14ac:dyDescent="0.25">
      <c r="A219" s="46" t="s">
        <v>15</v>
      </c>
      <c r="B219" s="5" t="s">
        <v>137</v>
      </c>
      <c r="C219" s="4"/>
      <c r="D219" s="20"/>
      <c r="E219" s="103">
        <f>10223.8-721.68</f>
        <v>9502.119999999999</v>
      </c>
      <c r="F219" s="76">
        <v>0.2</v>
      </c>
      <c r="G219" s="20">
        <f t="shared" si="10"/>
        <v>1900.424</v>
      </c>
      <c r="H219" s="22"/>
      <c r="I219" s="21">
        <f>3578.33-252.56+G219</f>
        <v>5226.1939999999995</v>
      </c>
      <c r="J219" s="20"/>
      <c r="K219" s="20">
        <f t="shared" si="11"/>
        <v>4275.9259999999995</v>
      </c>
    </row>
    <row r="220" spans="1:11" x14ac:dyDescent="0.25">
      <c r="A220" s="46" t="s">
        <v>15</v>
      </c>
      <c r="B220" s="5" t="s">
        <v>138</v>
      </c>
      <c r="C220" s="4"/>
      <c r="D220" s="20"/>
      <c r="E220" s="103">
        <v>1428</v>
      </c>
      <c r="F220" s="76">
        <v>0.2</v>
      </c>
      <c r="G220" s="20">
        <f t="shared" si="10"/>
        <v>285.60000000000002</v>
      </c>
      <c r="H220" s="22"/>
      <c r="I220" s="21">
        <f>499.8+G220</f>
        <v>785.40000000000009</v>
      </c>
      <c r="J220" s="20"/>
      <c r="K220" s="20">
        <f t="shared" si="11"/>
        <v>642.59999999999991</v>
      </c>
    </row>
    <row r="221" spans="1:11" x14ac:dyDescent="0.25">
      <c r="A221" s="46" t="s">
        <v>15</v>
      </c>
      <c r="B221" s="5" t="s">
        <v>139</v>
      </c>
      <c r="C221" s="4"/>
      <c r="D221" s="20"/>
      <c r="E221" s="103">
        <v>6840</v>
      </c>
      <c r="F221" s="76">
        <v>0.2</v>
      </c>
      <c r="G221" s="20">
        <f t="shared" si="10"/>
        <v>1368</v>
      </c>
      <c r="H221" s="22"/>
      <c r="I221" s="21">
        <f>2052+G221</f>
        <v>3420</v>
      </c>
      <c r="J221" s="20"/>
      <c r="K221" s="20">
        <f t="shared" si="11"/>
        <v>3420</v>
      </c>
    </row>
    <row r="222" spans="1:11" x14ac:dyDescent="0.25">
      <c r="A222" s="46" t="s">
        <v>15</v>
      </c>
      <c r="B222" s="5" t="s">
        <v>140</v>
      </c>
      <c r="C222" s="4"/>
      <c r="D222" s="20"/>
      <c r="E222" s="103">
        <v>780</v>
      </c>
      <c r="F222" s="76">
        <v>0.2</v>
      </c>
      <c r="G222" s="20">
        <f t="shared" si="10"/>
        <v>156</v>
      </c>
      <c r="H222" s="22"/>
      <c r="I222" s="21">
        <f>234+G222</f>
        <v>390</v>
      </c>
      <c r="J222" s="20"/>
      <c r="K222" s="20">
        <f t="shared" si="11"/>
        <v>390</v>
      </c>
    </row>
    <row r="223" spans="1:11" x14ac:dyDescent="0.25">
      <c r="A223" s="46" t="s">
        <v>15</v>
      </c>
      <c r="B223" s="5" t="s">
        <v>141</v>
      </c>
      <c r="C223" s="4"/>
      <c r="D223" s="20"/>
      <c r="E223" s="103">
        <v>1022.76</v>
      </c>
      <c r="F223" s="76">
        <v>0.2</v>
      </c>
      <c r="G223" s="20">
        <f t="shared" si="10"/>
        <v>204.55200000000002</v>
      </c>
      <c r="H223" s="22"/>
      <c r="I223" s="21">
        <f>306.83+G223</f>
        <v>511.38200000000001</v>
      </c>
      <c r="J223" s="20"/>
      <c r="K223" s="20">
        <f t="shared" si="11"/>
        <v>511.37799999999999</v>
      </c>
    </row>
    <row r="224" spans="1:11" x14ac:dyDescent="0.25">
      <c r="A224" s="46" t="s">
        <v>15</v>
      </c>
      <c r="B224" s="5" t="s">
        <v>142</v>
      </c>
      <c r="C224" s="4"/>
      <c r="D224" s="20"/>
      <c r="E224" s="103">
        <v>1504.76</v>
      </c>
      <c r="F224" s="76">
        <v>0.2</v>
      </c>
      <c r="G224" s="20">
        <f t="shared" si="10"/>
        <v>300.952</v>
      </c>
      <c r="H224" s="22"/>
      <c r="I224" s="21">
        <f>376.19+G224</f>
        <v>677.14200000000005</v>
      </c>
      <c r="J224" s="20"/>
      <c r="K224" s="20">
        <f t="shared" si="11"/>
        <v>827.61799999999994</v>
      </c>
    </row>
    <row r="225" spans="1:14" s="116" customFormat="1" ht="12" x14ac:dyDescent="0.25">
      <c r="A225" s="109" t="s">
        <v>15</v>
      </c>
      <c r="B225" s="110" t="s">
        <v>51</v>
      </c>
      <c r="C225" s="111"/>
      <c r="D225" s="112"/>
      <c r="E225" s="136">
        <v>-37371.14</v>
      </c>
      <c r="F225" s="114"/>
      <c r="G225" s="112">
        <v>-7167.76</v>
      </c>
      <c r="H225" s="115"/>
      <c r="I225" s="113">
        <f>-30203.38+G225</f>
        <v>-37371.14</v>
      </c>
      <c r="J225" s="112"/>
      <c r="K225" s="112">
        <f>E225-I225</f>
        <v>0</v>
      </c>
    </row>
    <row r="226" spans="1:14" s="116" customFormat="1" ht="12" x14ac:dyDescent="0.25">
      <c r="A226" s="109" t="s">
        <v>15</v>
      </c>
      <c r="B226" s="110" t="s">
        <v>199</v>
      </c>
      <c r="C226" s="111"/>
      <c r="D226" s="112"/>
      <c r="E226" s="136">
        <f>325000+71500</f>
        <v>396500</v>
      </c>
      <c r="F226" s="114">
        <v>0.2</v>
      </c>
      <c r="G226" s="112">
        <f>E226*F226</f>
        <v>79300</v>
      </c>
      <c r="H226" s="115"/>
      <c r="I226" s="21">
        <f>G226</f>
        <v>79300</v>
      </c>
      <c r="J226" s="112"/>
      <c r="K226" s="112">
        <f>E226-I226</f>
        <v>317200</v>
      </c>
    </row>
    <row r="227" spans="1:14" s="94" customFormat="1" x14ac:dyDescent="0.25">
      <c r="A227" s="46"/>
      <c r="B227" s="12" t="s">
        <v>16</v>
      </c>
      <c r="C227" s="13"/>
      <c r="D227" s="23"/>
      <c r="E227" s="154">
        <f>SUM(E50:E226)</f>
        <v>4551197.37</v>
      </c>
      <c r="F227" s="28"/>
      <c r="G227" s="23">
        <f>SUM(G50:G226)</f>
        <v>601738.3180000002</v>
      </c>
      <c r="H227" s="24"/>
      <c r="I227" s="93">
        <f>SUM(I50:I226)</f>
        <v>3406247.3079999979</v>
      </c>
      <c r="J227" s="23"/>
      <c r="K227" s="23">
        <f>SUM(K50:K226)</f>
        <v>1144950.0619999997</v>
      </c>
      <c r="M227" s="98"/>
      <c r="N227" s="95"/>
    </row>
    <row r="228" spans="1:14" x14ac:dyDescent="0.25">
      <c r="A228" s="46"/>
      <c r="B228" s="5"/>
      <c r="C228" s="4"/>
      <c r="D228" s="20"/>
      <c r="E228" s="103"/>
      <c r="F228" s="27"/>
      <c r="G228" s="20"/>
      <c r="H228" s="22"/>
      <c r="I228" s="21"/>
      <c r="J228" s="20"/>
      <c r="K228" s="20"/>
      <c r="N228" s="97"/>
    </row>
    <row r="229" spans="1:14" x14ac:dyDescent="0.25">
      <c r="A229" s="46"/>
      <c r="B229" s="12" t="s">
        <v>143</v>
      </c>
      <c r="C229" s="4"/>
      <c r="D229" s="20"/>
      <c r="E229" s="103"/>
      <c r="F229" s="27"/>
      <c r="G229" s="20"/>
      <c r="H229" s="22"/>
      <c r="I229" s="103"/>
      <c r="J229" s="20"/>
      <c r="K229" s="20"/>
      <c r="N229" s="96"/>
    </row>
    <row r="230" spans="1:14" s="131" customFormat="1" x14ac:dyDescent="0.25">
      <c r="A230" s="132" t="s">
        <v>15</v>
      </c>
      <c r="B230" s="110" t="s">
        <v>343</v>
      </c>
      <c r="C230" s="111"/>
      <c r="D230" s="112"/>
      <c r="E230" s="136">
        <f>125923.95+10357.79+722.48+324+363.46+978.2+263.49+163.35</f>
        <v>139096.72</v>
      </c>
      <c r="F230" s="133"/>
      <c r="G230" s="112"/>
      <c r="H230" s="115"/>
      <c r="I230" s="136">
        <f>E230</f>
        <v>139096.72</v>
      </c>
      <c r="J230" s="112"/>
      <c r="K230" s="112">
        <f>E230-I230</f>
        <v>0</v>
      </c>
    </row>
    <row r="231" spans="1:14" ht="24" x14ac:dyDescent="0.25">
      <c r="A231" s="46" t="s">
        <v>15</v>
      </c>
      <c r="B231" s="137" t="s">
        <v>202</v>
      </c>
      <c r="C231" s="4"/>
      <c r="D231" s="20"/>
      <c r="E231" s="103">
        <v>1680</v>
      </c>
      <c r="F231" s="27"/>
      <c r="G231" s="20"/>
      <c r="H231" s="22"/>
      <c r="I231" s="103">
        <f t="shared" ref="I231:I264" si="12">E231</f>
        <v>1680</v>
      </c>
      <c r="J231" s="20"/>
      <c r="K231" s="20">
        <f t="shared" ref="K231:K276" si="13">E231-I231</f>
        <v>0</v>
      </c>
      <c r="N231" s="96"/>
    </row>
    <row r="232" spans="1:14" x14ac:dyDescent="0.25">
      <c r="A232" s="46" t="s">
        <v>15</v>
      </c>
      <c r="B232" s="5" t="s">
        <v>203</v>
      </c>
      <c r="C232" s="4"/>
      <c r="D232" s="20"/>
      <c r="E232" s="103">
        <v>5580</v>
      </c>
      <c r="F232" s="27"/>
      <c r="G232" s="20"/>
      <c r="H232" s="22"/>
      <c r="I232" s="103">
        <f t="shared" si="12"/>
        <v>5580</v>
      </c>
      <c r="J232" s="20"/>
      <c r="K232" s="20">
        <f t="shared" si="13"/>
        <v>0</v>
      </c>
      <c r="N232" s="96"/>
    </row>
    <row r="233" spans="1:14" x14ac:dyDescent="0.25">
      <c r="A233" s="46" t="s">
        <v>15</v>
      </c>
      <c r="B233" s="5" t="s">
        <v>204</v>
      </c>
      <c r="C233" s="4"/>
      <c r="D233" s="20"/>
      <c r="E233" s="103">
        <v>13020</v>
      </c>
      <c r="F233" s="27"/>
      <c r="G233" s="20"/>
      <c r="H233" s="22"/>
      <c r="I233" s="103">
        <f t="shared" si="12"/>
        <v>13020</v>
      </c>
      <c r="J233" s="20"/>
      <c r="K233" s="20">
        <f t="shared" si="13"/>
        <v>0</v>
      </c>
      <c r="N233" s="96"/>
    </row>
    <row r="234" spans="1:14" x14ac:dyDescent="0.25">
      <c r="A234" s="46" t="s">
        <v>15</v>
      </c>
      <c r="B234" s="5" t="s">
        <v>206</v>
      </c>
      <c r="C234" s="4"/>
      <c r="D234" s="20"/>
      <c r="E234" s="103">
        <v>409.71</v>
      </c>
      <c r="F234" s="27"/>
      <c r="G234" s="20"/>
      <c r="H234" s="22"/>
      <c r="I234" s="103">
        <f t="shared" si="12"/>
        <v>409.71</v>
      </c>
      <c r="J234" s="20"/>
      <c r="K234" s="20">
        <f t="shared" si="13"/>
        <v>0</v>
      </c>
      <c r="N234" s="96"/>
    </row>
    <row r="235" spans="1:14" x14ac:dyDescent="0.25">
      <c r="A235" s="46" t="s">
        <v>15</v>
      </c>
      <c r="B235" s="5" t="s">
        <v>205</v>
      </c>
      <c r="C235" s="4"/>
      <c r="D235" s="20"/>
      <c r="E235" s="103">
        <v>1398.83</v>
      </c>
      <c r="F235" s="27"/>
      <c r="G235" s="20"/>
      <c r="H235" s="22"/>
      <c r="I235" s="103">
        <f t="shared" si="12"/>
        <v>1398.83</v>
      </c>
      <c r="J235" s="20"/>
      <c r="K235" s="20">
        <f t="shared" si="13"/>
        <v>0</v>
      </c>
      <c r="N235" s="96"/>
    </row>
    <row r="236" spans="1:14" x14ac:dyDescent="0.25">
      <c r="A236" s="46" t="s">
        <v>15</v>
      </c>
      <c r="B236" s="5" t="s">
        <v>207</v>
      </c>
      <c r="C236" s="4"/>
      <c r="D236" s="20"/>
      <c r="E236" s="103">
        <v>1730.17</v>
      </c>
      <c r="F236" s="27"/>
      <c r="G236" s="20"/>
      <c r="H236" s="22"/>
      <c r="I236" s="103">
        <f t="shared" si="12"/>
        <v>1730.17</v>
      </c>
      <c r="J236" s="20"/>
      <c r="K236" s="20">
        <f t="shared" si="13"/>
        <v>0</v>
      </c>
      <c r="N236" s="96"/>
    </row>
    <row r="237" spans="1:14" x14ac:dyDescent="0.25">
      <c r="A237" s="46" t="s">
        <v>15</v>
      </c>
      <c r="B237" s="5" t="s">
        <v>208</v>
      </c>
      <c r="C237" s="4"/>
      <c r="D237" s="20"/>
      <c r="E237" s="103">
        <v>972</v>
      </c>
      <c r="F237" s="27"/>
      <c r="G237" s="20"/>
      <c r="H237" s="22"/>
      <c r="I237" s="103">
        <f t="shared" si="12"/>
        <v>972</v>
      </c>
      <c r="J237" s="20"/>
      <c r="K237" s="20">
        <f t="shared" si="13"/>
        <v>0</v>
      </c>
      <c r="N237" s="96"/>
    </row>
    <row r="238" spans="1:14" x14ac:dyDescent="0.25">
      <c r="A238" s="46" t="s">
        <v>15</v>
      </c>
      <c r="B238" s="5" t="s">
        <v>209</v>
      </c>
      <c r="C238" s="4"/>
      <c r="D238" s="20"/>
      <c r="E238" s="103">
        <v>50.4</v>
      </c>
      <c r="F238" s="27"/>
      <c r="G238" s="20"/>
      <c r="H238" s="22"/>
      <c r="I238" s="103">
        <f t="shared" si="12"/>
        <v>50.4</v>
      </c>
      <c r="J238" s="20"/>
      <c r="K238" s="20">
        <f t="shared" si="13"/>
        <v>0</v>
      </c>
      <c r="N238" s="96"/>
    </row>
    <row r="239" spans="1:14" x14ac:dyDescent="0.25">
      <c r="A239" s="46" t="s">
        <v>15</v>
      </c>
      <c r="B239" s="5" t="s">
        <v>210</v>
      </c>
      <c r="C239" s="4"/>
      <c r="D239" s="20"/>
      <c r="E239" s="103">
        <v>2516.08</v>
      </c>
      <c r="F239" s="27"/>
      <c r="G239" s="20"/>
      <c r="H239" s="22"/>
      <c r="I239" s="103">
        <f t="shared" si="12"/>
        <v>2516.08</v>
      </c>
      <c r="J239" s="20"/>
      <c r="K239" s="20">
        <f t="shared" si="13"/>
        <v>0</v>
      </c>
      <c r="N239" s="96"/>
    </row>
    <row r="240" spans="1:14" x14ac:dyDescent="0.25">
      <c r="A240" s="46" t="s">
        <v>15</v>
      </c>
      <c r="B240" s="5" t="s">
        <v>211</v>
      </c>
      <c r="C240" s="4"/>
      <c r="D240" s="20"/>
      <c r="E240" s="103">
        <v>2456.4299999999998</v>
      </c>
      <c r="F240" s="27"/>
      <c r="G240" s="20"/>
      <c r="H240" s="22"/>
      <c r="I240" s="103">
        <f t="shared" si="12"/>
        <v>2456.4299999999998</v>
      </c>
      <c r="J240" s="20"/>
      <c r="K240" s="20">
        <f t="shared" si="13"/>
        <v>0</v>
      </c>
      <c r="N240" s="96"/>
    </row>
    <row r="241" spans="1:14" x14ac:dyDescent="0.25">
      <c r="A241" s="46" t="s">
        <v>15</v>
      </c>
      <c r="B241" s="5" t="s">
        <v>212</v>
      </c>
      <c r="C241" s="4"/>
      <c r="D241" s="20"/>
      <c r="E241" s="103">
        <v>3944.07</v>
      </c>
      <c r="F241" s="27"/>
      <c r="G241" s="20"/>
      <c r="H241" s="22"/>
      <c r="I241" s="103">
        <f t="shared" si="12"/>
        <v>3944.07</v>
      </c>
      <c r="J241" s="20"/>
      <c r="K241" s="20">
        <f t="shared" si="13"/>
        <v>0</v>
      </c>
      <c r="N241" s="96"/>
    </row>
    <row r="242" spans="1:14" x14ac:dyDescent="0.25">
      <c r="A242" s="46" t="s">
        <v>15</v>
      </c>
      <c r="B242" s="5" t="s">
        <v>213</v>
      </c>
      <c r="C242" s="4"/>
      <c r="D242" s="20"/>
      <c r="E242" s="103">
        <v>2119.1999999999998</v>
      </c>
      <c r="F242" s="27"/>
      <c r="G242" s="20"/>
      <c r="H242" s="22"/>
      <c r="I242" s="103">
        <f t="shared" si="12"/>
        <v>2119.1999999999998</v>
      </c>
      <c r="J242" s="20"/>
      <c r="K242" s="20">
        <f t="shared" si="13"/>
        <v>0</v>
      </c>
      <c r="N242" s="96"/>
    </row>
    <row r="243" spans="1:14" x14ac:dyDescent="0.25">
      <c r="A243" s="46" t="s">
        <v>15</v>
      </c>
      <c r="B243" s="5" t="s">
        <v>214</v>
      </c>
      <c r="C243" s="4"/>
      <c r="D243" s="20"/>
      <c r="E243" s="103">
        <v>1116</v>
      </c>
      <c r="F243" s="27"/>
      <c r="G243" s="20"/>
      <c r="H243" s="22"/>
      <c r="I243" s="103">
        <f t="shared" si="12"/>
        <v>1116</v>
      </c>
      <c r="J243" s="20"/>
      <c r="K243" s="20">
        <f t="shared" si="13"/>
        <v>0</v>
      </c>
      <c r="N243" s="96"/>
    </row>
    <row r="244" spans="1:14" ht="24" x14ac:dyDescent="0.25">
      <c r="A244" s="46" t="s">
        <v>15</v>
      </c>
      <c r="B244" s="137" t="s">
        <v>215</v>
      </c>
      <c r="C244" s="4"/>
      <c r="D244" s="20"/>
      <c r="E244" s="103">
        <v>14580</v>
      </c>
      <c r="F244" s="27"/>
      <c r="G244" s="20"/>
      <c r="H244" s="22"/>
      <c r="I244" s="103">
        <f t="shared" si="12"/>
        <v>14580</v>
      </c>
      <c r="J244" s="20"/>
      <c r="K244" s="20">
        <f t="shared" si="13"/>
        <v>0</v>
      </c>
      <c r="N244" s="96"/>
    </row>
    <row r="245" spans="1:14" ht="24" x14ac:dyDescent="0.25">
      <c r="A245" s="46" t="s">
        <v>15</v>
      </c>
      <c r="B245" s="137" t="s">
        <v>217</v>
      </c>
      <c r="C245" s="4"/>
      <c r="D245" s="20"/>
      <c r="E245" s="103">
        <f>6720-1680</f>
        <v>5040</v>
      </c>
      <c r="F245" s="27"/>
      <c r="G245" s="20"/>
      <c r="H245" s="22"/>
      <c r="I245" s="103">
        <f t="shared" si="12"/>
        <v>5040</v>
      </c>
      <c r="J245" s="20"/>
      <c r="K245" s="20">
        <f t="shared" si="13"/>
        <v>0</v>
      </c>
      <c r="N245" s="96"/>
    </row>
    <row r="246" spans="1:14" x14ac:dyDescent="0.25">
      <c r="A246" s="46" t="s">
        <v>15</v>
      </c>
      <c r="B246" s="5" t="s">
        <v>216</v>
      </c>
      <c r="C246" s="4"/>
      <c r="D246" s="20"/>
      <c r="E246" s="103">
        <v>1203.4100000000001</v>
      </c>
      <c r="F246" s="27"/>
      <c r="G246" s="20"/>
      <c r="H246" s="22"/>
      <c r="I246" s="103">
        <f t="shared" si="12"/>
        <v>1203.4100000000001</v>
      </c>
      <c r="J246" s="20"/>
      <c r="K246" s="20">
        <f t="shared" si="13"/>
        <v>0</v>
      </c>
      <c r="N246" s="96"/>
    </row>
    <row r="247" spans="1:14" x14ac:dyDescent="0.25">
      <c r="A247" s="46" t="s">
        <v>15</v>
      </c>
      <c r="B247" s="5" t="s">
        <v>218</v>
      </c>
      <c r="C247" s="4"/>
      <c r="D247" s="20"/>
      <c r="E247" s="103">
        <v>1242.51</v>
      </c>
      <c r="F247" s="27"/>
      <c r="G247" s="20"/>
      <c r="H247" s="22"/>
      <c r="I247" s="103">
        <f t="shared" si="12"/>
        <v>1242.51</v>
      </c>
      <c r="J247" s="20"/>
      <c r="K247" s="20">
        <f t="shared" si="13"/>
        <v>0</v>
      </c>
      <c r="N247" s="96"/>
    </row>
    <row r="248" spans="1:14" ht="24" x14ac:dyDescent="0.25">
      <c r="A248" s="46" t="s">
        <v>15</v>
      </c>
      <c r="B248" s="137" t="s">
        <v>219</v>
      </c>
      <c r="C248" s="4"/>
      <c r="D248" s="20"/>
      <c r="E248" s="103">
        <v>7080</v>
      </c>
      <c r="F248" s="27"/>
      <c r="G248" s="20"/>
      <c r="H248" s="22"/>
      <c r="I248" s="103">
        <f t="shared" si="12"/>
        <v>7080</v>
      </c>
      <c r="J248" s="20"/>
      <c r="K248" s="20">
        <f t="shared" si="13"/>
        <v>0</v>
      </c>
      <c r="N248" s="96"/>
    </row>
    <row r="249" spans="1:14" x14ac:dyDescent="0.25">
      <c r="A249" s="46" t="s">
        <v>15</v>
      </c>
      <c r="B249" s="5" t="s">
        <v>220</v>
      </c>
      <c r="C249" s="4"/>
      <c r="D249" s="20"/>
      <c r="E249" s="103">
        <v>6720</v>
      </c>
      <c r="F249" s="27"/>
      <c r="G249" s="20"/>
      <c r="H249" s="22"/>
      <c r="I249" s="103">
        <f t="shared" si="12"/>
        <v>6720</v>
      </c>
      <c r="J249" s="20"/>
      <c r="K249" s="20">
        <f t="shared" si="13"/>
        <v>0</v>
      </c>
      <c r="N249" s="96"/>
    </row>
    <row r="250" spans="1:14" x14ac:dyDescent="0.25">
      <c r="A250" s="46" t="s">
        <v>15</v>
      </c>
      <c r="B250" s="5" t="s">
        <v>221</v>
      </c>
      <c r="C250" s="4"/>
      <c r="D250" s="20"/>
      <c r="E250" s="103">
        <v>1242.52</v>
      </c>
      <c r="F250" s="27"/>
      <c r="G250" s="20"/>
      <c r="H250" s="22"/>
      <c r="I250" s="103">
        <f t="shared" si="12"/>
        <v>1242.52</v>
      </c>
      <c r="J250" s="20"/>
      <c r="K250" s="20">
        <f t="shared" si="13"/>
        <v>0</v>
      </c>
      <c r="N250" s="96"/>
    </row>
    <row r="251" spans="1:14" x14ac:dyDescent="0.25">
      <c r="A251" s="46" t="s">
        <v>15</v>
      </c>
      <c r="B251" s="5" t="s">
        <v>222</v>
      </c>
      <c r="C251" s="4"/>
      <c r="D251" s="20"/>
      <c r="E251" s="103">
        <v>6720</v>
      </c>
      <c r="F251" s="27"/>
      <c r="G251" s="20"/>
      <c r="H251" s="22"/>
      <c r="I251" s="103">
        <f t="shared" si="12"/>
        <v>6720</v>
      </c>
      <c r="J251" s="20"/>
      <c r="K251" s="20">
        <f t="shared" si="13"/>
        <v>0</v>
      </c>
      <c r="N251" s="96"/>
    </row>
    <row r="252" spans="1:14" x14ac:dyDescent="0.25">
      <c r="A252" s="46" t="s">
        <v>15</v>
      </c>
      <c r="B252" s="5" t="s">
        <v>223</v>
      </c>
      <c r="C252" s="4"/>
      <c r="D252" s="20"/>
      <c r="E252" s="103">
        <v>1200</v>
      </c>
      <c r="F252" s="27"/>
      <c r="G252" s="20"/>
      <c r="H252" s="22"/>
      <c r="I252" s="103">
        <f t="shared" si="12"/>
        <v>1200</v>
      </c>
      <c r="J252" s="20"/>
      <c r="K252" s="20">
        <f t="shared" si="13"/>
        <v>0</v>
      </c>
      <c r="N252" s="96"/>
    </row>
    <row r="253" spans="1:14" x14ac:dyDescent="0.25">
      <c r="A253" s="46" t="s">
        <v>15</v>
      </c>
      <c r="B253" s="5" t="s">
        <v>224</v>
      </c>
      <c r="C253" s="4"/>
      <c r="D253" s="20"/>
      <c r="E253" s="103">
        <v>409.7</v>
      </c>
      <c r="F253" s="27"/>
      <c r="G253" s="20"/>
      <c r="H253" s="22"/>
      <c r="I253" s="103">
        <f t="shared" si="12"/>
        <v>409.7</v>
      </c>
      <c r="J253" s="20"/>
      <c r="K253" s="20">
        <f t="shared" si="13"/>
        <v>0</v>
      </c>
      <c r="N253" s="96"/>
    </row>
    <row r="254" spans="1:14" x14ac:dyDescent="0.25">
      <c r="A254" s="46" t="s">
        <v>15</v>
      </c>
      <c r="B254" s="5" t="s">
        <v>225</v>
      </c>
      <c r="C254" s="4"/>
      <c r="D254" s="20"/>
      <c r="E254" s="103">
        <v>3148.44</v>
      </c>
      <c r="F254" s="27"/>
      <c r="G254" s="20"/>
      <c r="H254" s="22"/>
      <c r="I254" s="103">
        <f t="shared" si="12"/>
        <v>3148.44</v>
      </c>
      <c r="J254" s="20"/>
      <c r="K254" s="20">
        <f t="shared" si="13"/>
        <v>0</v>
      </c>
      <c r="N254" s="96"/>
    </row>
    <row r="255" spans="1:14" x14ac:dyDescent="0.25">
      <c r="A255" s="46" t="s">
        <v>15</v>
      </c>
      <c r="B255" s="5" t="s">
        <v>226</v>
      </c>
      <c r="C255" s="4"/>
      <c r="D255" s="20"/>
      <c r="E255" s="103">
        <v>1302</v>
      </c>
      <c r="F255" s="27"/>
      <c r="G255" s="20"/>
      <c r="H255" s="22"/>
      <c r="I255" s="103">
        <f t="shared" si="12"/>
        <v>1302</v>
      </c>
      <c r="J255" s="20"/>
      <c r="K255" s="20">
        <f t="shared" si="13"/>
        <v>0</v>
      </c>
      <c r="N255" s="96"/>
    </row>
    <row r="256" spans="1:14" x14ac:dyDescent="0.25">
      <c r="A256" s="46" t="s">
        <v>15</v>
      </c>
      <c r="B256" s="5" t="s">
        <v>227</v>
      </c>
      <c r="C256" s="4"/>
      <c r="D256" s="20"/>
      <c r="E256" s="103">
        <v>420</v>
      </c>
      <c r="F256" s="27"/>
      <c r="G256" s="20"/>
      <c r="H256" s="22"/>
      <c r="I256" s="103">
        <f t="shared" si="12"/>
        <v>420</v>
      </c>
      <c r="J256" s="20"/>
      <c r="K256" s="20">
        <f t="shared" si="13"/>
        <v>0</v>
      </c>
      <c r="N256" s="96"/>
    </row>
    <row r="257" spans="1:14" x14ac:dyDescent="0.25">
      <c r="A257" s="46" t="s">
        <v>15</v>
      </c>
      <c r="B257" s="5" t="s">
        <v>228</v>
      </c>
      <c r="C257" s="4"/>
      <c r="D257" s="20"/>
      <c r="E257" s="103">
        <v>1203.4100000000001</v>
      </c>
      <c r="F257" s="27"/>
      <c r="G257" s="20"/>
      <c r="H257" s="22"/>
      <c r="I257" s="103">
        <f t="shared" si="12"/>
        <v>1203.4100000000001</v>
      </c>
      <c r="J257" s="20"/>
      <c r="K257" s="20">
        <f t="shared" si="13"/>
        <v>0</v>
      </c>
      <c r="N257" s="96"/>
    </row>
    <row r="258" spans="1:14" x14ac:dyDescent="0.25">
      <c r="A258" s="46" t="s">
        <v>15</v>
      </c>
      <c r="B258" s="5" t="s">
        <v>229</v>
      </c>
      <c r="C258" s="4"/>
      <c r="D258" s="20"/>
      <c r="E258" s="103">
        <v>1730.17</v>
      </c>
      <c r="F258" s="27"/>
      <c r="G258" s="20"/>
      <c r="H258" s="22"/>
      <c r="I258" s="103">
        <f t="shared" si="12"/>
        <v>1730.17</v>
      </c>
      <c r="J258" s="20"/>
      <c r="K258" s="20">
        <f t="shared" si="13"/>
        <v>0</v>
      </c>
      <c r="N258" s="96"/>
    </row>
    <row r="259" spans="1:14" x14ac:dyDescent="0.25">
      <c r="A259" s="46" t="s">
        <v>15</v>
      </c>
      <c r="B259" s="5" t="s">
        <v>230</v>
      </c>
      <c r="C259" s="4"/>
      <c r="D259" s="20"/>
      <c r="E259" s="103">
        <v>774.44</v>
      </c>
      <c r="F259" s="27"/>
      <c r="G259" s="20"/>
      <c r="H259" s="22"/>
      <c r="I259" s="103">
        <f t="shared" si="12"/>
        <v>774.44</v>
      </c>
      <c r="J259" s="20"/>
      <c r="K259" s="20">
        <f t="shared" si="13"/>
        <v>0</v>
      </c>
      <c r="N259" s="96"/>
    </row>
    <row r="260" spans="1:14" x14ac:dyDescent="0.25">
      <c r="A260" s="46" t="s">
        <v>15</v>
      </c>
      <c r="B260" s="5" t="s">
        <v>231</v>
      </c>
      <c r="C260" s="4"/>
      <c r="D260" s="20"/>
      <c r="E260" s="103">
        <v>396</v>
      </c>
      <c r="F260" s="27"/>
      <c r="G260" s="20"/>
      <c r="H260" s="22"/>
      <c r="I260" s="103">
        <f t="shared" si="12"/>
        <v>396</v>
      </c>
      <c r="J260" s="20"/>
      <c r="K260" s="20">
        <f t="shared" si="13"/>
        <v>0</v>
      </c>
      <c r="N260" s="96"/>
    </row>
    <row r="261" spans="1:14" x14ac:dyDescent="0.25">
      <c r="A261" s="46" t="s">
        <v>15</v>
      </c>
      <c r="B261" s="5" t="s">
        <v>232</v>
      </c>
      <c r="C261" s="4"/>
      <c r="D261" s="20"/>
      <c r="E261" s="103">
        <v>366</v>
      </c>
      <c r="F261" s="27"/>
      <c r="G261" s="20"/>
      <c r="H261" s="22"/>
      <c r="I261" s="103">
        <f t="shared" si="12"/>
        <v>366</v>
      </c>
      <c r="J261" s="20"/>
      <c r="K261" s="20">
        <f t="shared" si="13"/>
        <v>0</v>
      </c>
      <c r="N261" s="96"/>
    </row>
    <row r="262" spans="1:14" x14ac:dyDescent="0.25">
      <c r="A262" s="46" t="s">
        <v>15</v>
      </c>
      <c r="B262" s="5" t="s">
        <v>233</v>
      </c>
      <c r="C262" s="4"/>
      <c r="D262" s="20"/>
      <c r="E262" s="103">
        <v>54.9</v>
      </c>
      <c r="F262" s="27"/>
      <c r="G262" s="20"/>
      <c r="H262" s="22"/>
      <c r="I262" s="103">
        <f t="shared" si="12"/>
        <v>54.9</v>
      </c>
      <c r="J262" s="20"/>
      <c r="K262" s="20">
        <f t="shared" si="13"/>
        <v>0</v>
      </c>
      <c r="N262" s="96"/>
    </row>
    <row r="263" spans="1:14" x14ac:dyDescent="0.25">
      <c r="A263" s="46" t="s">
        <v>15</v>
      </c>
      <c r="B263" s="5" t="s">
        <v>234</v>
      </c>
      <c r="C263" s="4"/>
      <c r="D263" s="20"/>
      <c r="E263" s="103">
        <v>350.4</v>
      </c>
      <c r="F263" s="27"/>
      <c r="G263" s="20"/>
      <c r="H263" s="22"/>
      <c r="I263" s="21">
        <f t="shared" si="12"/>
        <v>350.4</v>
      </c>
      <c r="J263" s="20"/>
      <c r="K263" s="20">
        <f t="shared" si="13"/>
        <v>0</v>
      </c>
      <c r="N263" s="96"/>
    </row>
    <row r="264" spans="1:14" x14ac:dyDescent="0.25">
      <c r="A264" s="46" t="s">
        <v>15</v>
      </c>
      <c r="B264" s="5" t="s">
        <v>235</v>
      </c>
      <c r="C264" s="4"/>
      <c r="D264" s="20"/>
      <c r="E264" s="103">
        <v>586.85</v>
      </c>
      <c r="F264" s="27"/>
      <c r="G264" s="20"/>
      <c r="H264" s="22"/>
      <c r="I264" s="21">
        <f t="shared" si="12"/>
        <v>586.85</v>
      </c>
      <c r="J264" s="20"/>
      <c r="K264" s="20">
        <f t="shared" si="13"/>
        <v>0</v>
      </c>
      <c r="N264" s="96"/>
    </row>
    <row r="265" spans="1:14" x14ac:dyDescent="0.25">
      <c r="A265" s="46" t="s">
        <v>15</v>
      </c>
      <c r="B265" s="5" t="s">
        <v>236</v>
      </c>
      <c r="C265" s="4"/>
      <c r="D265" s="20"/>
      <c r="E265" s="103">
        <f>768.6-15-24.96+15</f>
        <v>743.64</v>
      </c>
      <c r="F265" s="27"/>
      <c r="G265" s="20"/>
      <c r="H265" s="22"/>
      <c r="I265" s="103">
        <v>743.64</v>
      </c>
      <c r="J265" s="20"/>
      <c r="K265" s="20">
        <f t="shared" si="13"/>
        <v>0</v>
      </c>
      <c r="N265" s="96"/>
    </row>
    <row r="266" spans="1:14" x14ac:dyDescent="0.25">
      <c r="A266" s="46" t="s">
        <v>15</v>
      </c>
      <c r="B266" s="5" t="s">
        <v>144</v>
      </c>
      <c r="C266" s="4"/>
      <c r="D266" s="20"/>
      <c r="E266" s="103">
        <v>1584</v>
      </c>
      <c r="F266" s="27"/>
      <c r="G266" s="20">
        <v>158.4</v>
      </c>
      <c r="H266" s="22"/>
      <c r="I266" s="103">
        <f>1425.6+G266</f>
        <v>1584</v>
      </c>
      <c r="J266" s="20"/>
      <c r="K266" s="20">
        <f t="shared" si="13"/>
        <v>0</v>
      </c>
    </row>
    <row r="267" spans="1:14" x14ac:dyDescent="0.25">
      <c r="A267" s="46" t="s">
        <v>15</v>
      </c>
      <c r="B267" s="5" t="s">
        <v>145</v>
      </c>
      <c r="C267" s="4"/>
      <c r="D267" s="20"/>
      <c r="E267" s="103">
        <v>1234.2</v>
      </c>
      <c r="F267" s="27"/>
      <c r="G267" s="20">
        <v>370.26</v>
      </c>
      <c r="H267" s="22"/>
      <c r="I267" s="103">
        <f>863.94+G267</f>
        <v>1234.2</v>
      </c>
      <c r="J267" s="20"/>
      <c r="K267" s="20">
        <f t="shared" si="13"/>
        <v>0</v>
      </c>
    </row>
    <row r="268" spans="1:14" x14ac:dyDescent="0.25">
      <c r="A268" s="46" t="s">
        <v>15</v>
      </c>
      <c r="B268" s="5" t="s">
        <v>146</v>
      </c>
      <c r="C268" s="4"/>
      <c r="D268" s="20">
        <v>1331</v>
      </c>
      <c r="E268" s="103"/>
      <c r="F268" s="27"/>
      <c r="G268" s="20"/>
      <c r="H268" s="22">
        <v>798.6</v>
      </c>
      <c r="I268" s="103"/>
      <c r="J268" s="20"/>
      <c r="K268" s="20">
        <f>E268-I268</f>
        <v>0</v>
      </c>
    </row>
    <row r="269" spans="1:14" s="131" customFormat="1" x14ac:dyDescent="0.25">
      <c r="A269" s="132" t="s">
        <v>15</v>
      </c>
      <c r="B269" s="110" t="s">
        <v>20</v>
      </c>
      <c r="C269" s="111"/>
      <c r="D269" s="112">
        <v>-440</v>
      </c>
      <c r="E269" s="136">
        <f>D268+D269</f>
        <v>891</v>
      </c>
      <c r="F269" s="133"/>
      <c r="G269" s="112">
        <v>356.4</v>
      </c>
      <c r="H269" s="115">
        <v>-264</v>
      </c>
      <c r="I269" s="136">
        <f>H268+H269+G269</f>
        <v>891</v>
      </c>
      <c r="J269" s="112"/>
      <c r="K269" s="20">
        <f t="shared" si="13"/>
        <v>0</v>
      </c>
    </row>
    <row r="270" spans="1:14" x14ac:dyDescent="0.25">
      <c r="A270" s="46" t="s">
        <v>15</v>
      </c>
      <c r="B270" s="5" t="s">
        <v>147</v>
      </c>
      <c r="C270" s="4"/>
      <c r="D270" s="20"/>
      <c r="E270" s="103">
        <v>2934.39</v>
      </c>
      <c r="F270" s="76">
        <v>0.2</v>
      </c>
      <c r="G270" s="20">
        <f>E270*F270</f>
        <v>586.87800000000004</v>
      </c>
      <c r="H270" s="22"/>
      <c r="I270" s="103">
        <f>1760.64+G270</f>
        <v>2347.518</v>
      </c>
      <c r="J270" s="20"/>
      <c r="K270" s="20">
        <f t="shared" si="13"/>
        <v>586.87199999999984</v>
      </c>
    </row>
    <row r="271" spans="1:14" x14ac:dyDescent="0.25">
      <c r="A271" s="46" t="s">
        <v>15</v>
      </c>
      <c r="B271" s="5" t="s">
        <v>148</v>
      </c>
      <c r="C271" s="4"/>
      <c r="D271" s="20"/>
      <c r="E271" s="103">
        <v>247.05</v>
      </c>
      <c r="F271" s="76">
        <v>0.2</v>
      </c>
      <c r="G271" s="20">
        <f t="shared" ref="G271:G273" si="14">E271*F271</f>
        <v>49.410000000000004</v>
      </c>
      <c r="H271" s="22"/>
      <c r="I271" s="103">
        <f>148.25+G271</f>
        <v>197.66</v>
      </c>
      <c r="J271" s="20"/>
      <c r="K271" s="20">
        <f t="shared" si="13"/>
        <v>49.390000000000015</v>
      </c>
    </row>
    <row r="272" spans="1:14" x14ac:dyDescent="0.25">
      <c r="A272" s="46" t="s">
        <v>15</v>
      </c>
      <c r="B272" s="5" t="s">
        <v>148</v>
      </c>
      <c r="C272" s="4"/>
      <c r="D272" s="20"/>
      <c r="E272" s="103">
        <v>878.4</v>
      </c>
      <c r="F272" s="76">
        <v>0.2</v>
      </c>
      <c r="G272" s="20">
        <f t="shared" si="14"/>
        <v>175.68</v>
      </c>
      <c r="H272" s="22"/>
      <c r="I272" s="103">
        <f>527.04+G272</f>
        <v>702.72</v>
      </c>
      <c r="J272" s="20"/>
      <c r="K272" s="20">
        <f t="shared" si="13"/>
        <v>175.67999999999995</v>
      </c>
    </row>
    <row r="273" spans="1:14" x14ac:dyDescent="0.25">
      <c r="A273" s="46" t="s">
        <v>15</v>
      </c>
      <c r="B273" s="5" t="s">
        <v>149</v>
      </c>
      <c r="C273" s="4"/>
      <c r="D273" s="20"/>
      <c r="E273" s="103">
        <v>2087.04</v>
      </c>
      <c r="F273" s="76">
        <v>0.2</v>
      </c>
      <c r="G273" s="20">
        <f t="shared" si="14"/>
        <v>417.40800000000002</v>
      </c>
      <c r="H273" s="22"/>
      <c r="I273" s="103">
        <f>1460.93+G273</f>
        <v>1878.3380000000002</v>
      </c>
      <c r="J273" s="20"/>
      <c r="K273" s="20">
        <f t="shared" si="13"/>
        <v>208.70199999999977</v>
      </c>
    </row>
    <row r="274" spans="1:14" s="105" customFormat="1" x14ac:dyDescent="0.25">
      <c r="A274" s="107" t="s">
        <v>15</v>
      </c>
      <c r="B274" s="100" t="s">
        <v>150</v>
      </c>
      <c r="C274" s="101"/>
      <c r="D274" s="102"/>
      <c r="E274" s="103">
        <v>1320</v>
      </c>
      <c r="F274" s="108"/>
      <c r="G274" s="102">
        <v>0</v>
      </c>
      <c r="H274" s="104"/>
      <c r="I274" s="103">
        <v>2500.04</v>
      </c>
      <c r="J274" s="102"/>
      <c r="K274" s="20">
        <f t="shared" si="13"/>
        <v>-1180.04</v>
      </c>
    </row>
    <row r="275" spans="1:14" s="105" customFormat="1" ht="13.8" customHeight="1" x14ac:dyDescent="0.25">
      <c r="A275" s="107" t="s">
        <v>15</v>
      </c>
      <c r="B275" s="100" t="s">
        <v>192</v>
      </c>
      <c r="C275" s="101">
        <v>2017</v>
      </c>
      <c r="D275" s="102">
        <v>6000</v>
      </c>
      <c r="E275" s="103">
        <v>6000</v>
      </c>
      <c r="F275" s="108">
        <v>0.2</v>
      </c>
      <c r="G275" s="102">
        <f>E275*F275</f>
        <v>1200</v>
      </c>
      <c r="H275" s="104"/>
      <c r="I275" s="103">
        <f>G275</f>
        <v>1200</v>
      </c>
      <c r="J275" s="102"/>
      <c r="K275" s="20">
        <f t="shared" si="13"/>
        <v>4800</v>
      </c>
    </row>
    <row r="276" spans="1:14" s="105" customFormat="1" ht="13.8" customHeight="1" x14ac:dyDescent="0.25">
      <c r="A276" s="107" t="s">
        <v>15</v>
      </c>
      <c r="B276" s="100" t="s">
        <v>193</v>
      </c>
      <c r="C276" s="101">
        <v>2017</v>
      </c>
      <c r="D276" s="102">
        <v>13000</v>
      </c>
      <c r="E276" s="103">
        <v>13000</v>
      </c>
      <c r="F276" s="108">
        <v>0.2</v>
      </c>
      <c r="G276" s="102">
        <f>E276*F276</f>
        <v>2600</v>
      </c>
      <c r="H276" s="104"/>
      <c r="I276" s="103">
        <v>2600</v>
      </c>
      <c r="J276" s="102"/>
      <c r="K276" s="20">
        <f t="shared" si="13"/>
        <v>10400</v>
      </c>
    </row>
    <row r="277" spans="1:14" s="135" customFormat="1" ht="13.8" customHeight="1" x14ac:dyDescent="0.25">
      <c r="A277" s="107" t="s">
        <v>15</v>
      </c>
      <c r="B277" s="100" t="s">
        <v>194</v>
      </c>
      <c r="C277" s="101">
        <v>2017</v>
      </c>
      <c r="D277" s="102">
        <v>-30</v>
      </c>
      <c r="E277" s="103">
        <v>-30</v>
      </c>
      <c r="F277" s="108"/>
      <c r="G277" s="102">
        <v>0</v>
      </c>
      <c r="H277" s="104"/>
      <c r="I277" s="103">
        <v>0</v>
      </c>
      <c r="J277" s="102"/>
      <c r="K277" s="20">
        <v>0</v>
      </c>
      <c r="N277" s="135" t="s">
        <v>252</v>
      </c>
    </row>
    <row r="278" spans="1:14" s="94" customFormat="1" x14ac:dyDescent="0.25">
      <c r="A278" s="70"/>
      <c r="B278" s="77" t="s">
        <v>16</v>
      </c>
      <c r="C278" s="13"/>
      <c r="D278" s="23"/>
      <c r="E278" s="154">
        <f>SUM(E230:E277)</f>
        <v>262750.08000000007</v>
      </c>
      <c r="F278" s="28"/>
      <c r="G278" s="23">
        <f>SUM(G266:G277)</f>
        <v>5914.4359999999997</v>
      </c>
      <c r="H278" s="24"/>
      <c r="I278" s="93">
        <f>SUM(I230:I277)</f>
        <v>247739.47600000005</v>
      </c>
      <c r="J278" s="23"/>
      <c r="K278" s="23">
        <f>SUM(K230:K277)</f>
        <v>15040.603999999999</v>
      </c>
      <c r="M278" s="95"/>
      <c r="N278" s="98"/>
    </row>
    <row r="279" spans="1:14" x14ac:dyDescent="0.25">
      <c r="A279" s="46"/>
      <c r="B279" s="12"/>
      <c r="C279" s="4"/>
      <c r="D279" s="20"/>
      <c r="E279" s="103"/>
      <c r="F279" s="27"/>
      <c r="G279" s="20"/>
      <c r="H279" s="22"/>
      <c r="I279" s="21"/>
      <c r="J279" s="20"/>
      <c r="K279" s="20"/>
      <c r="M279" s="138"/>
      <c r="N279" s="97"/>
    </row>
    <row r="280" spans="1:14" x14ac:dyDescent="0.25">
      <c r="A280" s="46"/>
      <c r="B280" s="12" t="s">
        <v>168</v>
      </c>
      <c r="C280" s="4"/>
      <c r="D280" s="20"/>
      <c r="E280" s="103"/>
      <c r="F280" s="27"/>
      <c r="G280" s="20"/>
      <c r="H280" s="22"/>
      <c r="I280" s="21"/>
      <c r="J280" s="20"/>
      <c r="K280" s="20"/>
      <c r="N280" s="97"/>
    </row>
    <row r="281" spans="1:14" x14ac:dyDescent="0.25">
      <c r="A281" s="46" t="s">
        <v>15</v>
      </c>
      <c r="B281" s="5" t="s">
        <v>344</v>
      </c>
      <c r="C281" s="4"/>
      <c r="D281" s="20"/>
      <c r="E281" s="103">
        <v>10649.51</v>
      </c>
      <c r="F281" s="99"/>
      <c r="G281" s="20"/>
      <c r="H281" s="22"/>
      <c r="I281" s="21">
        <v>10649.51</v>
      </c>
      <c r="J281" s="20"/>
      <c r="K281" s="20">
        <f>E281-I281</f>
        <v>0</v>
      </c>
    </row>
    <row r="282" spans="1:14" x14ac:dyDescent="0.25">
      <c r="A282" s="46" t="s">
        <v>249</v>
      </c>
      <c r="B282" s="5" t="s">
        <v>248</v>
      </c>
      <c r="C282" s="4"/>
      <c r="D282" s="20"/>
      <c r="E282" s="103">
        <v>-28.2</v>
      </c>
      <c r="F282" s="99"/>
      <c r="G282" s="20"/>
      <c r="H282" s="22"/>
      <c r="I282" s="21">
        <v>0</v>
      </c>
      <c r="J282" s="20"/>
      <c r="K282" s="20">
        <v>0</v>
      </c>
    </row>
    <row r="283" spans="1:14" x14ac:dyDescent="0.25">
      <c r="A283" s="46" t="s">
        <v>15</v>
      </c>
      <c r="B283" s="5" t="s">
        <v>237</v>
      </c>
      <c r="C283" s="4"/>
      <c r="D283" s="20"/>
      <c r="E283" s="103">
        <v>156</v>
      </c>
      <c r="F283" s="99"/>
      <c r="G283" s="20"/>
      <c r="H283" s="22"/>
      <c r="I283" s="21">
        <f t="shared" ref="I283:I293" si="15">E283</f>
        <v>156</v>
      </c>
      <c r="J283" s="20"/>
      <c r="K283" s="20">
        <f t="shared" ref="K283:K294" si="16">E283-I283</f>
        <v>0</v>
      </c>
    </row>
    <row r="284" spans="1:14" x14ac:dyDescent="0.25">
      <c r="A284" s="46" t="s">
        <v>15</v>
      </c>
      <c r="B284" s="5" t="s">
        <v>238</v>
      </c>
      <c r="C284" s="4"/>
      <c r="D284" s="20"/>
      <c r="E284" s="103">
        <v>115.17</v>
      </c>
      <c r="F284" s="99"/>
      <c r="G284" s="20"/>
      <c r="H284" s="22"/>
      <c r="I284" s="21">
        <f t="shared" si="15"/>
        <v>115.17</v>
      </c>
      <c r="J284" s="20"/>
      <c r="K284" s="20">
        <f t="shared" si="16"/>
        <v>0</v>
      </c>
    </row>
    <row r="285" spans="1:14" x14ac:dyDescent="0.25">
      <c r="A285" s="46" t="s">
        <v>15</v>
      </c>
      <c r="B285" s="5" t="s">
        <v>239</v>
      </c>
      <c r="C285" s="4"/>
      <c r="D285" s="20"/>
      <c r="E285" s="103">
        <v>61</v>
      </c>
      <c r="F285" s="99"/>
      <c r="G285" s="20"/>
      <c r="H285" s="22"/>
      <c r="I285" s="21">
        <f t="shared" si="15"/>
        <v>61</v>
      </c>
      <c r="J285" s="20"/>
      <c r="K285" s="20">
        <f t="shared" si="16"/>
        <v>0</v>
      </c>
    </row>
    <row r="286" spans="1:14" x14ac:dyDescent="0.25">
      <c r="A286" s="46" t="s">
        <v>15</v>
      </c>
      <c r="B286" s="5" t="s">
        <v>240</v>
      </c>
      <c r="C286" s="4"/>
      <c r="D286" s="20"/>
      <c r="E286" s="103">
        <v>120</v>
      </c>
      <c r="F286" s="99"/>
      <c r="G286" s="20"/>
      <c r="H286" s="22"/>
      <c r="I286" s="21">
        <f t="shared" si="15"/>
        <v>120</v>
      </c>
      <c r="J286" s="20"/>
      <c r="K286" s="20">
        <f t="shared" si="16"/>
        <v>0</v>
      </c>
    </row>
    <row r="287" spans="1:14" x14ac:dyDescent="0.25">
      <c r="A287" s="46" t="s">
        <v>15</v>
      </c>
      <c r="B287" s="5" t="s">
        <v>242</v>
      </c>
      <c r="C287" s="4"/>
      <c r="D287" s="20"/>
      <c r="E287" s="103">
        <v>55.5</v>
      </c>
      <c r="F287" s="99"/>
      <c r="G287" s="20"/>
      <c r="H287" s="22"/>
      <c r="I287" s="21">
        <f t="shared" si="15"/>
        <v>55.5</v>
      </c>
      <c r="J287" s="20"/>
      <c r="K287" s="20">
        <f t="shared" si="16"/>
        <v>0</v>
      </c>
    </row>
    <row r="288" spans="1:14" x14ac:dyDescent="0.25">
      <c r="A288" s="46" t="s">
        <v>15</v>
      </c>
      <c r="B288" s="5" t="s">
        <v>241</v>
      </c>
      <c r="C288" s="4"/>
      <c r="D288" s="20"/>
      <c r="E288" s="103">
        <v>120</v>
      </c>
      <c r="F288" s="99"/>
      <c r="G288" s="20"/>
      <c r="H288" s="22"/>
      <c r="I288" s="21">
        <f t="shared" si="15"/>
        <v>120</v>
      </c>
      <c r="J288" s="20"/>
      <c r="K288" s="20">
        <f t="shared" si="16"/>
        <v>0</v>
      </c>
    </row>
    <row r="289" spans="1:14" x14ac:dyDescent="0.25">
      <c r="A289" s="46" t="s">
        <v>15</v>
      </c>
      <c r="B289" s="5" t="s">
        <v>243</v>
      </c>
      <c r="C289" s="4"/>
      <c r="D289" s="20"/>
      <c r="E289" s="103">
        <v>60.99</v>
      </c>
      <c r="F289" s="99"/>
      <c r="G289" s="20"/>
      <c r="H289" s="22"/>
      <c r="I289" s="21">
        <f t="shared" si="15"/>
        <v>60.99</v>
      </c>
      <c r="J289" s="20"/>
      <c r="K289" s="20">
        <f t="shared" si="16"/>
        <v>0</v>
      </c>
    </row>
    <row r="290" spans="1:14" x14ac:dyDescent="0.25">
      <c r="A290" s="46" t="s">
        <v>15</v>
      </c>
      <c r="B290" s="5" t="s">
        <v>244</v>
      </c>
      <c r="C290" s="4"/>
      <c r="D290" s="20"/>
      <c r="E290" s="103">
        <v>1380</v>
      </c>
      <c r="F290" s="99"/>
      <c r="G290" s="20"/>
      <c r="H290" s="22"/>
      <c r="I290" s="21">
        <f t="shared" si="15"/>
        <v>1380</v>
      </c>
      <c r="J290" s="20"/>
      <c r="K290" s="20">
        <f t="shared" si="16"/>
        <v>0</v>
      </c>
    </row>
    <row r="291" spans="1:14" x14ac:dyDescent="0.25">
      <c r="A291" s="46" t="s">
        <v>15</v>
      </c>
      <c r="B291" s="5" t="s">
        <v>245</v>
      </c>
      <c r="C291" s="4"/>
      <c r="D291" s="20"/>
      <c r="E291" s="103">
        <v>480</v>
      </c>
      <c r="F291" s="99"/>
      <c r="G291" s="20"/>
      <c r="H291" s="22"/>
      <c r="I291" s="21">
        <f t="shared" si="15"/>
        <v>480</v>
      </c>
      <c r="J291" s="20"/>
      <c r="K291" s="20">
        <f t="shared" si="16"/>
        <v>0</v>
      </c>
    </row>
    <row r="292" spans="1:14" x14ac:dyDescent="0.25">
      <c r="A292" s="46" t="s">
        <v>15</v>
      </c>
      <c r="B292" s="5" t="s">
        <v>246</v>
      </c>
      <c r="C292" s="4"/>
      <c r="D292" s="20"/>
      <c r="E292" s="103">
        <v>41.32</v>
      </c>
      <c r="F292" s="99"/>
      <c r="G292" s="20"/>
      <c r="H292" s="22"/>
      <c r="I292" s="21">
        <f t="shared" si="15"/>
        <v>41.32</v>
      </c>
      <c r="J292" s="20"/>
      <c r="K292" s="20">
        <f t="shared" si="16"/>
        <v>0</v>
      </c>
    </row>
    <row r="293" spans="1:14" x14ac:dyDescent="0.25">
      <c r="A293" s="46" t="s">
        <v>15</v>
      </c>
      <c r="B293" s="5" t="s">
        <v>247</v>
      </c>
      <c r="C293" s="4"/>
      <c r="D293" s="20"/>
      <c r="E293" s="103">
        <v>100</v>
      </c>
      <c r="F293" s="99"/>
      <c r="G293" s="20"/>
      <c r="H293" s="22"/>
      <c r="I293" s="21">
        <f t="shared" si="15"/>
        <v>100</v>
      </c>
      <c r="J293" s="20"/>
      <c r="K293" s="20">
        <f t="shared" si="16"/>
        <v>0</v>
      </c>
    </row>
    <row r="294" spans="1:14" x14ac:dyDescent="0.25">
      <c r="A294" s="46" t="s">
        <v>15</v>
      </c>
      <c r="B294" s="5" t="s">
        <v>251</v>
      </c>
      <c r="C294" s="4"/>
      <c r="D294" s="20"/>
      <c r="E294" s="103">
        <v>1046</v>
      </c>
      <c r="F294" s="99"/>
      <c r="G294" s="20"/>
      <c r="H294" s="22"/>
      <c r="I294" s="21">
        <v>1046</v>
      </c>
      <c r="J294" s="20"/>
      <c r="K294" s="20">
        <f t="shared" si="16"/>
        <v>0</v>
      </c>
    </row>
    <row r="295" spans="1:14" x14ac:dyDescent="0.25">
      <c r="A295" s="46" t="s">
        <v>15</v>
      </c>
      <c r="B295" s="5" t="s">
        <v>250</v>
      </c>
      <c r="C295" s="4"/>
      <c r="D295" s="20"/>
      <c r="E295" s="103">
        <v>-80.28</v>
      </c>
      <c r="F295" s="99"/>
      <c r="G295" s="20"/>
      <c r="H295" s="22"/>
      <c r="I295" s="21">
        <v>0</v>
      </c>
      <c r="J295" s="20"/>
      <c r="K295" s="20">
        <v>0</v>
      </c>
    </row>
    <row r="296" spans="1:14" x14ac:dyDescent="0.25">
      <c r="A296" s="46" t="s">
        <v>15</v>
      </c>
      <c r="B296" s="5" t="s">
        <v>151</v>
      </c>
      <c r="C296" s="4"/>
      <c r="D296" s="20"/>
      <c r="E296" s="103">
        <v>1680</v>
      </c>
      <c r="F296" s="99">
        <v>0.12</v>
      </c>
      <c r="G296" s="20">
        <f t="shared" ref="G296:G310" si="17">E296*F296</f>
        <v>201.6</v>
      </c>
      <c r="H296" s="22"/>
      <c r="I296" s="21">
        <f>907.2+G296</f>
        <v>1108.8</v>
      </c>
      <c r="J296" s="20"/>
      <c r="K296" s="20">
        <f>E296-I296</f>
        <v>571.20000000000005</v>
      </c>
    </row>
    <row r="297" spans="1:14" x14ac:dyDescent="0.25">
      <c r="A297" s="46" t="s">
        <v>15</v>
      </c>
      <c r="B297" s="5" t="s">
        <v>152</v>
      </c>
      <c r="C297" s="4"/>
      <c r="D297" s="20"/>
      <c r="E297" s="103">
        <v>5069.1000000000004</v>
      </c>
      <c r="F297" s="99">
        <v>0.12</v>
      </c>
      <c r="G297" s="20">
        <f t="shared" si="17"/>
        <v>608.29200000000003</v>
      </c>
      <c r="H297" s="22"/>
      <c r="I297" s="21">
        <f>1520.73+G297</f>
        <v>2129.0219999999999</v>
      </c>
      <c r="J297" s="20"/>
      <c r="K297" s="20">
        <f t="shared" ref="K297:K310" si="18">E297-I297</f>
        <v>2940.0780000000004</v>
      </c>
    </row>
    <row r="298" spans="1:14" x14ac:dyDescent="0.25">
      <c r="A298" s="46" t="s">
        <v>15</v>
      </c>
      <c r="B298" s="5" t="s">
        <v>153</v>
      </c>
      <c r="C298" s="4"/>
      <c r="D298" s="20"/>
      <c r="E298" s="103">
        <v>475.8</v>
      </c>
      <c r="F298" s="99">
        <v>0.12</v>
      </c>
      <c r="G298" s="20">
        <f t="shared" si="17"/>
        <v>57.095999999999997</v>
      </c>
      <c r="H298" s="22"/>
      <c r="I298" s="21">
        <f>142.75+G298</f>
        <v>199.846</v>
      </c>
      <c r="J298" s="20"/>
      <c r="K298" s="20">
        <f t="shared" si="18"/>
        <v>275.95400000000001</v>
      </c>
    </row>
    <row r="299" spans="1:14" x14ac:dyDescent="0.25">
      <c r="A299" s="46" t="s">
        <v>15</v>
      </c>
      <c r="B299" s="5" t="s">
        <v>154</v>
      </c>
      <c r="C299" s="4"/>
      <c r="D299" s="20"/>
      <c r="E299" s="103">
        <v>103.7</v>
      </c>
      <c r="F299" s="99">
        <v>0.12</v>
      </c>
      <c r="G299" s="20">
        <f t="shared" si="17"/>
        <v>12.443999999999999</v>
      </c>
      <c r="H299" s="22"/>
      <c r="I299" s="21">
        <f>31.1+G299</f>
        <v>43.543999999999997</v>
      </c>
      <c r="J299" s="20"/>
      <c r="K299" s="20">
        <f t="shared" si="18"/>
        <v>60.156000000000006</v>
      </c>
    </row>
    <row r="300" spans="1:14" x14ac:dyDescent="0.25">
      <c r="A300" s="46" t="s">
        <v>15</v>
      </c>
      <c r="B300" s="5" t="s">
        <v>155</v>
      </c>
      <c r="C300" s="4"/>
      <c r="D300" s="20"/>
      <c r="E300" s="103">
        <v>847.9</v>
      </c>
      <c r="F300" s="99">
        <v>0.12</v>
      </c>
      <c r="G300" s="20">
        <f>E300*F300</f>
        <v>101.74799999999999</v>
      </c>
      <c r="H300" s="22"/>
      <c r="I300" s="21">
        <f>254.37+G300</f>
        <v>356.11799999999999</v>
      </c>
      <c r="J300" s="20"/>
      <c r="K300" s="20">
        <f t="shared" si="18"/>
        <v>491.78199999999998</v>
      </c>
    </row>
    <row r="301" spans="1:14" x14ac:dyDescent="0.25">
      <c r="A301" s="46" t="s">
        <v>15</v>
      </c>
      <c r="B301" s="5" t="s">
        <v>156</v>
      </c>
      <c r="C301" s="4"/>
      <c r="D301" s="20"/>
      <c r="E301" s="103">
        <v>341.6</v>
      </c>
      <c r="F301" s="99">
        <v>0.12</v>
      </c>
      <c r="G301" s="20">
        <f>E301*F301</f>
        <v>40.992000000000004</v>
      </c>
      <c r="H301" s="22"/>
      <c r="I301" s="21">
        <f>102.48+G301</f>
        <v>143.47200000000001</v>
      </c>
      <c r="J301" s="20"/>
      <c r="K301" s="20">
        <f t="shared" si="18"/>
        <v>198.12800000000001</v>
      </c>
    </row>
    <row r="302" spans="1:14" x14ac:dyDescent="0.25">
      <c r="A302" s="46" t="s">
        <v>15</v>
      </c>
      <c r="B302" s="5" t="s">
        <v>157</v>
      </c>
      <c r="C302" s="4"/>
      <c r="D302" s="20"/>
      <c r="E302" s="103">
        <v>73.2</v>
      </c>
      <c r="F302" s="99">
        <v>0.12</v>
      </c>
      <c r="G302" s="20">
        <f t="shared" si="17"/>
        <v>8.7840000000000007</v>
      </c>
      <c r="H302" s="22"/>
      <c r="I302" s="21">
        <f>21.95+G302</f>
        <v>30.734000000000002</v>
      </c>
      <c r="J302" s="20"/>
      <c r="K302" s="20">
        <f t="shared" si="18"/>
        <v>42.466000000000001</v>
      </c>
    </row>
    <row r="303" spans="1:14" x14ac:dyDescent="0.25">
      <c r="A303" s="46" t="s">
        <v>15</v>
      </c>
      <c r="B303" s="5" t="s">
        <v>158</v>
      </c>
      <c r="C303" s="4"/>
      <c r="D303" s="20"/>
      <c r="E303" s="103">
        <v>61</v>
      </c>
      <c r="F303" s="99">
        <v>0.12</v>
      </c>
      <c r="G303" s="20">
        <f t="shared" si="17"/>
        <v>7.3199999999999994</v>
      </c>
      <c r="H303" s="22"/>
      <c r="I303" s="21">
        <f>18.3+G303</f>
        <v>25.62</v>
      </c>
      <c r="J303" s="20"/>
      <c r="K303" s="20">
        <f t="shared" si="18"/>
        <v>35.379999999999995</v>
      </c>
    </row>
    <row r="304" spans="1:14" x14ac:dyDescent="0.25">
      <c r="A304" s="46" t="s">
        <v>15</v>
      </c>
      <c r="B304" s="5" t="s">
        <v>159</v>
      </c>
      <c r="C304" s="4"/>
      <c r="D304" s="20"/>
      <c r="E304" s="103">
        <v>1644</v>
      </c>
      <c r="F304" s="99">
        <v>0.12</v>
      </c>
      <c r="G304" s="20">
        <f t="shared" si="17"/>
        <v>197.28</v>
      </c>
      <c r="H304" s="22"/>
      <c r="I304" s="21">
        <f>986.4+G304</f>
        <v>1183.68</v>
      </c>
      <c r="J304" s="20"/>
      <c r="K304" s="20">
        <f t="shared" si="18"/>
        <v>460.31999999999994</v>
      </c>
      <c r="N304" s="134"/>
    </row>
    <row r="305" spans="1:15" x14ac:dyDescent="0.25">
      <c r="A305" s="46" t="s">
        <v>15</v>
      </c>
      <c r="B305" s="5" t="s">
        <v>160</v>
      </c>
      <c r="C305" s="4"/>
      <c r="D305" s="20"/>
      <c r="E305" s="103">
        <v>2299</v>
      </c>
      <c r="F305" s="99">
        <v>0.12</v>
      </c>
      <c r="G305" s="20">
        <f t="shared" si="17"/>
        <v>275.88</v>
      </c>
      <c r="H305" s="22"/>
      <c r="I305" s="21">
        <f>1379.4+G305</f>
        <v>1655.2800000000002</v>
      </c>
      <c r="J305" s="20"/>
      <c r="K305" s="20">
        <f t="shared" si="18"/>
        <v>643.7199999999998</v>
      </c>
    </row>
    <row r="306" spans="1:15" x14ac:dyDescent="0.25">
      <c r="A306" s="46" t="s">
        <v>15</v>
      </c>
      <c r="B306" s="5" t="s">
        <v>161</v>
      </c>
      <c r="C306" s="4"/>
      <c r="D306" s="20"/>
      <c r="E306" s="103">
        <v>1200</v>
      </c>
      <c r="F306" s="99">
        <v>0.12</v>
      </c>
      <c r="G306" s="20">
        <f t="shared" si="17"/>
        <v>144</v>
      </c>
      <c r="H306" s="22"/>
      <c r="I306" s="21">
        <f>720+G306</f>
        <v>864</v>
      </c>
      <c r="J306" s="20"/>
      <c r="K306" s="20">
        <f t="shared" si="18"/>
        <v>336</v>
      </c>
      <c r="O306" s="97"/>
    </row>
    <row r="307" spans="1:15" x14ac:dyDescent="0.25">
      <c r="A307" s="46" t="s">
        <v>15</v>
      </c>
      <c r="B307" s="5" t="s">
        <v>162</v>
      </c>
      <c r="C307" s="4"/>
      <c r="D307" s="20"/>
      <c r="E307" s="103">
        <v>300</v>
      </c>
      <c r="F307" s="99">
        <v>0.12</v>
      </c>
      <c r="G307" s="20">
        <f t="shared" si="17"/>
        <v>36</v>
      </c>
      <c r="H307" s="22"/>
      <c r="I307" s="21">
        <f>180+G307</f>
        <v>216</v>
      </c>
      <c r="J307" s="20"/>
      <c r="K307" s="20">
        <f t="shared" si="18"/>
        <v>84</v>
      </c>
    </row>
    <row r="308" spans="1:15" x14ac:dyDescent="0.25">
      <c r="A308" s="46" t="s">
        <v>15</v>
      </c>
      <c r="B308" s="5" t="s">
        <v>163</v>
      </c>
      <c r="C308" s="4"/>
      <c r="D308" s="20"/>
      <c r="E308" s="103">
        <v>500</v>
      </c>
      <c r="F308" s="99">
        <v>0.12</v>
      </c>
      <c r="G308" s="20">
        <f t="shared" si="17"/>
        <v>60</v>
      </c>
      <c r="H308" s="22"/>
      <c r="I308" s="21">
        <f>300+G308</f>
        <v>360</v>
      </c>
      <c r="J308" s="20"/>
      <c r="K308" s="20">
        <f t="shared" si="18"/>
        <v>140</v>
      </c>
    </row>
    <row r="309" spans="1:15" x14ac:dyDescent="0.25">
      <c r="A309" s="46" t="s">
        <v>15</v>
      </c>
      <c r="B309" s="5" t="s">
        <v>164</v>
      </c>
      <c r="C309" s="4"/>
      <c r="D309" s="20"/>
      <c r="E309" s="103">
        <v>5940</v>
      </c>
      <c r="F309" s="99">
        <v>0.12</v>
      </c>
      <c r="G309" s="20">
        <f t="shared" si="17"/>
        <v>712.8</v>
      </c>
      <c r="H309" s="22"/>
      <c r="I309" s="21">
        <f>3205.72+G309</f>
        <v>3918.5199999999995</v>
      </c>
      <c r="J309" s="20"/>
      <c r="K309" s="20">
        <f t="shared" si="18"/>
        <v>2021.4800000000005</v>
      </c>
    </row>
    <row r="310" spans="1:15" x14ac:dyDescent="0.25">
      <c r="A310" s="46" t="s">
        <v>15</v>
      </c>
      <c r="B310" s="5" t="s">
        <v>165</v>
      </c>
      <c r="C310" s="4"/>
      <c r="D310" s="20"/>
      <c r="E310" s="103">
        <v>3949.2</v>
      </c>
      <c r="F310" s="99">
        <v>0.12</v>
      </c>
      <c r="G310" s="20">
        <f t="shared" si="17"/>
        <v>473.90399999999994</v>
      </c>
      <c r="H310" s="22"/>
      <c r="I310" s="21">
        <f>3080.35+G310</f>
        <v>3554.2539999999999</v>
      </c>
      <c r="J310" s="20"/>
      <c r="K310" s="20">
        <f t="shared" si="18"/>
        <v>394.94599999999991</v>
      </c>
    </row>
    <row r="311" spans="1:15" s="94" customFormat="1" x14ac:dyDescent="0.25">
      <c r="A311" s="70"/>
      <c r="B311" s="77" t="s">
        <v>166</v>
      </c>
      <c r="C311" s="13"/>
      <c r="D311" s="23"/>
      <c r="E311" s="154">
        <f>SUM(E281:E310)</f>
        <v>38761.509999999995</v>
      </c>
      <c r="F311" s="28"/>
      <c r="G311" s="23">
        <f>SUM(G296:G310)</f>
        <v>2938.14</v>
      </c>
      <c r="H311" s="24"/>
      <c r="I311" s="93">
        <f>SUM(I281:I310)</f>
        <v>30174.38</v>
      </c>
      <c r="J311" s="23"/>
      <c r="K311" s="23">
        <f>SUM(K281:K310)</f>
        <v>8695.61</v>
      </c>
      <c r="M311" s="98"/>
    </row>
    <row r="312" spans="1:15" x14ac:dyDescent="0.25">
      <c r="A312" s="46"/>
      <c r="B312" s="5"/>
      <c r="C312" s="4"/>
      <c r="D312" s="20"/>
      <c r="E312" s="103"/>
      <c r="F312" s="27"/>
      <c r="G312" s="20"/>
      <c r="H312" s="22"/>
      <c r="I312" s="21"/>
      <c r="J312" s="20"/>
      <c r="K312" s="20"/>
    </row>
    <row r="313" spans="1:15" x14ac:dyDescent="0.25">
      <c r="A313" s="46"/>
      <c r="B313" s="12" t="s">
        <v>167</v>
      </c>
      <c r="C313" s="4"/>
      <c r="D313" s="20"/>
      <c r="E313" s="103"/>
      <c r="F313" s="27"/>
      <c r="G313" s="20"/>
      <c r="H313" s="22"/>
      <c r="I313" s="21"/>
      <c r="J313" s="20"/>
      <c r="K313" s="20"/>
    </row>
    <row r="314" spans="1:15" x14ac:dyDescent="0.25">
      <c r="A314" s="46" t="s">
        <v>15</v>
      </c>
      <c r="B314" s="5" t="s">
        <v>345</v>
      </c>
      <c r="C314" s="4"/>
      <c r="D314" s="20"/>
      <c r="E314" s="141">
        <f>1891.01+1044+328.57+70966.58-87-967.2</f>
        <v>73175.960000000006</v>
      </c>
      <c r="F314" s="150"/>
      <c r="G314" s="166"/>
      <c r="H314" s="167"/>
      <c r="I314" s="141">
        <f>E314</f>
        <v>73175.960000000006</v>
      </c>
      <c r="J314" s="139"/>
      <c r="K314" s="140">
        <f>E314-I314</f>
        <v>0</v>
      </c>
    </row>
    <row r="315" spans="1:15" ht="24" x14ac:dyDescent="0.25">
      <c r="A315" s="46" t="s">
        <v>15</v>
      </c>
      <c r="B315" s="137" t="s">
        <v>346</v>
      </c>
      <c r="C315" s="4"/>
      <c r="D315" s="20"/>
      <c r="E315" s="141">
        <v>2081.7199999999998</v>
      </c>
      <c r="F315" s="150"/>
      <c r="G315" s="166"/>
      <c r="H315" s="167"/>
      <c r="I315" s="141">
        <v>2081.7199999999998</v>
      </c>
      <c r="J315" s="139"/>
      <c r="K315" s="140">
        <f t="shared" ref="K315:K330" si="19">E315-I315</f>
        <v>0</v>
      </c>
    </row>
    <row r="316" spans="1:15" ht="24" x14ac:dyDescent="0.25">
      <c r="A316" s="46" t="s">
        <v>15</v>
      </c>
      <c r="B316" s="137" t="s">
        <v>347</v>
      </c>
      <c r="C316" s="4"/>
      <c r="D316" s="20"/>
      <c r="E316" s="141">
        <v>3628.49</v>
      </c>
      <c r="F316" s="150"/>
      <c r="G316" s="166"/>
      <c r="H316" s="167"/>
      <c r="I316" s="141">
        <v>3628.49</v>
      </c>
      <c r="J316" s="139"/>
      <c r="K316" s="140">
        <f t="shared" si="19"/>
        <v>0</v>
      </c>
    </row>
    <row r="317" spans="1:15" ht="24" x14ac:dyDescent="0.25">
      <c r="A317" s="46" t="s">
        <v>15</v>
      </c>
      <c r="B317" s="137" t="s">
        <v>348</v>
      </c>
      <c r="C317" s="4"/>
      <c r="D317" s="20"/>
      <c r="E317" s="141">
        <v>2185.1999999999998</v>
      </c>
      <c r="F317" s="150"/>
      <c r="G317" s="166"/>
      <c r="H317" s="167"/>
      <c r="I317" s="141">
        <v>2185.1999999999998</v>
      </c>
      <c r="J317" s="139"/>
      <c r="K317" s="140">
        <v>0</v>
      </c>
    </row>
    <row r="318" spans="1:15" x14ac:dyDescent="0.25">
      <c r="A318" s="46" t="s">
        <v>15</v>
      </c>
      <c r="B318" s="5" t="s">
        <v>253</v>
      </c>
      <c r="C318" s="4"/>
      <c r="D318" s="20"/>
      <c r="E318" s="141">
        <v>635</v>
      </c>
      <c r="F318" s="150"/>
      <c r="G318" s="166"/>
      <c r="H318" s="167"/>
      <c r="I318" s="141">
        <v>635</v>
      </c>
      <c r="J318" s="139"/>
      <c r="K318" s="140">
        <f t="shared" si="19"/>
        <v>0</v>
      </c>
    </row>
    <row r="319" spans="1:15" x14ac:dyDescent="0.25">
      <c r="A319" s="46" t="s">
        <v>15</v>
      </c>
      <c r="B319" s="5" t="s">
        <v>254</v>
      </c>
      <c r="C319" s="4"/>
      <c r="D319" s="20"/>
      <c r="E319" s="141">
        <v>3000</v>
      </c>
      <c r="F319" s="150"/>
      <c r="G319" s="166"/>
      <c r="H319" s="167"/>
      <c r="I319" s="141">
        <v>3000</v>
      </c>
      <c r="J319" s="139"/>
      <c r="K319" s="140">
        <f t="shared" si="19"/>
        <v>0</v>
      </c>
    </row>
    <row r="320" spans="1:15" x14ac:dyDescent="0.25">
      <c r="A320" s="46" t="s">
        <v>15</v>
      </c>
      <c r="B320" s="5" t="s">
        <v>255</v>
      </c>
      <c r="C320" s="4"/>
      <c r="D320" s="20"/>
      <c r="E320" s="141">
        <v>1140</v>
      </c>
      <c r="F320" s="150"/>
      <c r="G320" s="166"/>
      <c r="H320" s="167"/>
      <c r="I320" s="141">
        <v>1140</v>
      </c>
      <c r="J320" s="139"/>
      <c r="K320" s="140">
        <f t="shared" si="19"/>
        <v>0</v>
      </c>
    </row>
    <row r="321" spans="1:12" x14ac:dyDescent="0.25">
      <c r="A321" s="46" t="s">
        <v>15</v>
      </c>
      <c r="B321" s="5" t="s">
        <v>256</v>
      </c>
      <c r="C321" s="4"/>
      <c r="D321" s="20"/>
      <c r="E321" s="141">
        <v>358.8</v>
      </c>
      <c r="F321" s="150"/>
      <c r="G321" s="166"/>
      <c r="H321" s="167"/>
      <c r="I321" s="141">
        <v>358.8</v>
      </c>
      <c r="J321" s="139"/>
      <c r="K321" s="140">
        <f t="shared" si="19"/>
        <v>0</v>
      </c>
    </row>
    <row r="322" spans="1:12" x14ac:dyDescent="0.25">
      <c r="A322" s="46" t="s">
        <v>15</v>
      </c>
      <c r="B322" s="5" t="s">
        <v>257</v>
      </c>
      <c r="C322" s="4"/>
      <c r="D322" s="20"/>
      <c r="E322" s="141">
        <v>714</v>
      </c>
      <c r="F322" s="150"/>
      <c r="G322" s="166"/>
      <c r="H322" s="167"/>
      <c r="I322" s="141">
        <v>714</v>
      </c>
      <c r="J322" s="139"/>
      <c r="K322" s="140">
        <f t="shared" si="19"/>
        <v>0</v>
      </c>
    </row>
    <row r="323" spans="1:12" x14ac:dyDescent="0.25">
      <c r="A323" s="46" t="s">
        <v>15</v>
      </c>
      <c r="B323" s="5" t="s">
        <v>258</v>
      </c>
      <c r="C323" s="4"/>
      <c r="D323" s="20"/>
      <c r="E323" s="141">
        <v>1024.8</v>
      </c>
      <c r="F323" s="150"/>
      <c r="G323" s="166"/>
      <c r="H323" s="167"/>
      <c r="I323" s="141">
        <v>1024.8</v>
      </c>
      <c r="J323" s="139"/>
      <c r="K323" s="140">
        <f t="shared" si="19"/>
        <v>0</v>
      </c>
    </row>
    <row r="324" spans="1:12" x14ac:dyDescent="0.25">
      <c r="A324" s="46" t="s">
        <v>15</v>
      </c>
      <c r="B324" s="5" t="s">
        <v>259</v>
      </c>
      <c r="C324" s="4"/>
      <c r="D324" s="20"/>
      <c r="E324" s="141">
        <v>302.35000000000002</v>
      </c>
      <c r="F324" s="150"/>
      <c r="G324" s="166"/>
      <c r="H324" s="167"/>
      <c r="I324" s="141">
        <v>302.35000000000002</v>
      </c>
      <c r="J324" s="139"/>
      <c r="K324" s="140">
        <f t="shared" si="19"/>
        <v>0</v>
      </c>
    </row>
    <row r="325" spans="1:12" x14ac:dyDescent="0.25">
      <c r="A325" s="46" t="s">
        <v>15</v>
      </c>
      <c r="B325" s="5" t="s">
        <v>260</v>
      </c>
      <c r="C325" s="4"/>
      <c r="D325" s="20"/>
      <c r="E325" s="141">
        <v>484.8</v>
      </c>
      <c r="F325" s="150"/>
      <c r="G325" s="166"/>
      <c r="H325" s="167"/>
      <c r="I325" s="141">
        <v>484.8</v>
      </c>
      <c r="J325" s="139"/>
      <c r="K325" s="140">
        <f t="shared" si="19"/>
        <v>0</v>
      </c>
    </row>
    <row r="326" spans="1:12" x14ac:dyDescent="0.25">
      <c r="A326" s="46" t="s">
        <v>15</v>
      </c>
      <c r="B326" s="5" t="s">
        <v>261</v>
      </c>
      <c r="C326" s="4"/>
      <c r="D326" s="20"/>
      <c r="E326" s="141">
        <v>1192.29</v>
      </c>
      <c r="F326" s="150"/>
      <c r="G326" s="166"/>
      <c r="H326" s="167"/>
      <c r="I326" s="141">
        <v>1192.29</v>
      </c>
      <c r="J326" s="139"/>
      <c r="K326" s="140">
        <f t="shared" si="19"/>
        <v>0</v>
      </c>
    </row>
    <row r="327" spans="1:12" x14ac:dyDescent="0.25">
      <c r="A327" s="46" t="s">
        <v>15</v>
      </c>
      <c r="B327" s="5" t="s">
        <v>262</v>
      </c>
      <c r="C327" s="4"/>
      <c r="D327" s="20"/>
      <c r="E327" s="141">
        <v>148.74</v>
      </c>
      <c r="F327" s="150"/>
      <c r="G327" s="166"/>
      <c r="H327" s="167"/>
      <c r="I327" s="141">
        <v>148.74</v>
      </c>
      <c r="J327" s="139"/>
      <c r="K327" s="140">
        <f t="shared" si="19"/>
        <v>0</v>
      </c>
    </row>
    <row r="328" spans="1:12" x14ac:dyDescent="0.25">
      <c r="A328" s="46" t="s">
        <v>15</v>
      </c>
      <c r="B328" s="5" t="s">
        <v>263</v>
      </c>
      <c r="C328" s="4"/>
      <c r="D328" s="20"/>
      <c r="E328" s="141">
        <v>111.55</v>
      </c>
      <c r="F328" s="150"/>
      <c r="G328" s="166"/>
      <c r="H328" s="167"/>
      <c r="I328" s="141">
        <v>111.55</v>
      </c>
      <c r="J328" s="139"/>
      <c r="K328" s="140">
        <f t="shared" si="19"/>
        <v>0</v>
      </c>
    </row>
    <row r="329" spans="1:12" x14ac:dyDescent="0.25">
      <c r="A329" s="46" t="s">
        <v>15</v>
      </c>
      <c r="B329" s="5" t="s">
        <v>264</v>
      </c>
      <c r="C329" s="4"/>
      <c r="D329" s="20"/>
      <c r="E329" s="141">
        <v>605</v>
      </c>
      <c r="F329" s="150"/>
      <c r="G329" s="166"/>
      <c r="H329" s="167"/>
      <c r="I329" s="141">
        <v>605</v>
      </c>
      <c r="J329" s="139"/>
      <c r="K329" s="140">
        <f t="shared" si="19"/>
        <v>0</v>
      </c>
    </row>
    <row r="330" spans="1:12" x14ac:dyDescent="0.25">
      <c r="A330" s="46" t="s">
        <v>15</v>
      </c>
      <c r="B330" s="5" t="s">
        <v>265</v>
      </c>
      <c r="C330" s="4"/>
      <c r="D330" s="20"/>
      <c r="E330" s="141">
        <v>50.82</v>
      </c>
      <c r="F330" s="150"/>
      <c r="G330" s="166"/>
      <c r="H330" s="167"/>
      <c r="I330" s="141">
        <v>50.82</v>
      </c>
      <c r="J330" s="139"/>
      <c r="K330" s="140">
        <f t="shared" si="19"/>
        <v>0</v>
      </c>
    </row>
    <row r="331" spans="1:12" x14ac:dyDescent="0.25">
      <c r="A331" s="46" t="s">
        <v>15</v>
      </c>
      <c r="B331" s="5" t="s">
        <v>266</v>
      </c>
      <c r="C331" s="4"/>
      <c r="D331" s="20"/>
      <c r="E331" s="141">
        <v>3147.26</v>
      </c>
      <c r="F331" s="150"/>
      <c r="G331" s="166"/>
      <c r="H331" s="167"/>
      <c r="I331" s="141">
        <v>3147.26</v>
      </c>
      <c r="J331" s="139"/>
      <c r="K331" s="140">
        <f>E331-I331</f>
        <v>0</v>
      </c>
      <c r="L331" s="20">
        <f>F331-J331</f>
        <v>0</v>
      </c>
    </row>
    <row r="332" spans="1:12" x14ac:dyDescent="0.25">
      <c r="A332" s="46" t="s">
        <v>15</v>
      </c>
      <c r="B332" s="5" t="s">
        <v>267</v>
      </c>
      <c r="C332" s="4"/>
      <c r="D332" s="20"/>
      <c r="E332" s="142" t="s">
        <v>268</v>
      </c>
      <c r="F332" s="168"/>
      <c r="G332" s="168"/>
      <c r="H332" s="169"/>
      <c r="I332" s="142" t="s">
        <v>268</v>
      </c>
      <c r="J332" s="139"/>
      <c r="K332" s="140">
        <v>0</v>
      </c>
    </row>
    <row r="333" spans="1:12" x14ac:dyDescent="0.25">
      <c r="A333" s="46" t="s">
        <v>15</v>
      </c>
      <c r="B333" s="5" t="s">
        <v>269</v>
      </c>
      <c r="C333" s="4"/>
      <c r="D333" s="20"/>
      <c r="E333" s="141">
        <v>183</v>
      </c>
      <c r="F333" s="150"/>
      <c r="G333" s="166"/>
      <c r="H333" s="167"/>
      <c r="I333" s="141">
        <v>183</v>
      </c>
      <c r="J333" s="139"/>
      <c r="K333" s="140">
        <f t="shared" ref="K333:K335" si="20">E333-I333</f>
        <v>0</v>
      </c>
    </row>
    <row r="334" spans="1:12" ht="24" x14ac:dyDescent="0.25">
      <c r="A334" s="46" t="s">
        <v>15</v>
      </c>
      <c r="B334" s="137" t="s">
        <v>270</v>
      </c>
      <c r="C334" s="4"/>
      <c r="D334" s="20"/>
      <c r="E334" s="141">
        <v>1143.5999999999999</v>
      </c>
      <c r="F334" s="150"/>
      <c r="G334" s="166"/>
      <c r="H334" s="167"/>
      <c r="I334" s="141">
        <v>1143.5999999999999</v>
      </c>
      <c r="J334" s="139"/>
      <c r="K334" s="140">
        <f t="shared" si="20"/>
        <v>0</v>
      </c>
    </row>
    <row r="335" spans="1:12" ht="24" x14ac:dyDescent="0.25">
      <c r="A335" s="46" t="s">
        <v>15</v>
      </c>
      <c r="B335" s="137" t="s">
        <v>271</v>
      </c>
      <c r="C335" s="4"/>
      <c r="D335" s="20"/>
      <c r="E335" s="141">
        <v>816</v>
      </c>
      <c r="F335" s="150"/>
      <c r="G335" s="166"/>
      <c r="H335" s="167"/>
      <c r="I335" s="141">
        <v>816</v>
      </c>
      <c r="J335" s="139"/>
      <c r="K335" s="140">
        <f t="shared" si="20"/>
        <v>0</v>
      </c>
    </row>
    <row r="336" spans="1:12" s="105" customFormat="1" x14ac:dyDescent="0.25">
      <c r="A336" s="46" t="s">
        <v>15</v>
      </c>
      <c r="B336" s="100" t="s">
        <v>169</v>
      </c>
      <c r="C336" s="101"/>
      <c r="D336" s="102"/>
      <c r="E336" s="141">
        <v>839</v>
      </c>
      <c r="F336" s="106">
        <v>0.2</v>
      </c>
      <c r="G336" s="102">
        <f>E336*F336</f>
        <v>167.8</v>
      </c>
      <c r="H336" s="104"/>
      <c r="I336" s="103">
        <f>587.3+G336</f>
        <v>755.09999999999991</v>
      </c>
      <c r="J336" s="102"/>
      <c r="K336" s="20">
        <f t="shared" ref="K336:K358" si="21">E336-I336</f>
        <v>83.900000000000091</v>
      </c>
    </row>
    <row r="337" spans="1:11" s="105" customFormat="1" x14ac:dyDescent="0.25">
      <c r="A337" s="46" t="s">
        <v>15</v>
      </c>
      <c r="B337" s="100" t="s">
        <v>170</v>
      </c>
      <c r="C337" s="101"/>
      <c r="D337" s="102"/>
      <c r="E337" s="141">
        <v>6294.51</v>
      </c>
      <c r="F337" s="106">
        <v>0.2</v>
      </c>
      <c r="G337" s="102">
        <f t="shared" ref="G337:G355" si="22">E337*F337</f>
        <v>1258.902</v>
      </c>
      <c r="H337" s="104"/>
      <c r="I337" s="103">
        <f>1196.79+G337</f>
        <v>2455.692</v>
      </c>
      <c r="J337" s="102"/>
      <c r="K337" s="20">
        <f t="shared" si="21"/>
        <v>3838.8180000000002</v>
      </c>
    </row>
    <row r="338" spans="1:11" s="105" customFormat="1" x14ac:dyDescent="0.25">
      <c r="A338" s="46" t="s">
        <v>15</v>
      </c>
      <c r="B338" s="100" t="s">
        <v>171</v>
      </c>
      <c r="C338" s="101"/>
      <c r="D338" s="102"/>
      <c r="E338" s="141">
        <v>262.10000000000002</v>
      </c>
      <c r="F338" s="106">
        <v>0.2</v>
      </c>
      <c r="G338" s="102">
        <f t="shared" si="22"/>
        <v>52.420000000000009</v>
      </c>
      <c r="H338" s="104"/>
      <c r="I338" s="103">
        <f>131.05+G338</f>
        <v>183.47000000000003</v>
      </c>
      <c r="J338" s="102"/>
      <c r="K338" s="20">
        <f t="shared" si="21"/>
        <v>78.63</v>
      </c>
    </row>
    <row r="339" spans="1:11" s="105" customFormat="1" x14ac:dyDescent="0.25">
      <c r="A339" s="46" t="s">
        <v>15</v>
      </c>
      <c r="B339" s="100" t="s">
        <v>172</v>
      </c>
      <c r="C339" s="101"/>
      <c r="D339" s="102"/>
      <c r="E339" s="141">
        <v>1250.4000000000001</v>
      </c>
      <c r="F339" s="106">
        <v>0.2</v>
      </c>
      <c r="G339" s="102">
        <f t="shared" si="22"/>
        <v>250.08000000000004</v>
      </c>
      <c r="H339" s="104"/>
      <c r="I339" s="103">
        <f>250.08+G339</f>
        <v>500.16000000000008</v>
      </c>
      <c r="J339" s="102"/>
      <c r="K339" s="20">
        <f t="shared" si="21"/>
        <v>750.24</v>
      </c>
    </row>
    <row r="340" spans="1:11" s="105" customFormat="1" x14ac:dyDescent="0.25">
      <c r="A340" s="46" t="s">
        <v>15</v>
      </c>
      <c r="B340" s="100" t="s">
        <v>173</v>
      </c>
      <c r="C340" s="101"/>
      <c r="D340" s="102"/>
      <c r="E340" s="141">
        <v>2223.4</v>
      </c>
      <c r="F340" s="106">
        <v>0.2</v>
      </c>
      <c r="G340" s="102">
        <f t="shared" si="22"/>
        <v>444.68000000000006</v>
      </c>
      <c r="H340" s="104"/>
      <c r="I340" s="103">
        <f>444.68+G340</f>
        <v>889.36000000000013</v>
      </c>
      <c r="J340" s="102"/>
      <c r="K340" s="20">
        <f t="shared" si="21"/>
        <v>1334.04</v>
      </c>
    </row>
    <row r="341" spans="1:11" s="105" customFormat="1" x14ac:dyDescent="0.25">
      <c r="A341" s="46" t="s">
        <v>15</v>
      </c>
      <c r="B341" s="100" t="s">
        <v>174</v>
      </c>
      <c r="C341" s="101"/>
      <c r="D341" s="102"/>
      <c r="E341" s="141">
        <v>530</v>
      </c>
      <c r="F341" s="106">
        <v>0.2</v>
      </c>
      <c r="G341" s="102">
        <f t="shared" si="22"/>
        <v>106</v>
      </c>
      <c r="H341" s="104"/>
      <c r="I341" s="103">
        <f>106+G341</f>
        <v>212</v>
      </c>
      <c r="J341" s="102"/>
      <c r="K341" s="20">
        <f t="shared" si="21"/>
        <v>318</v>
      </c>
    </row>
    <row r="342" spans="1:11" s="105" customFormat="1" x14ac:dyDescent="0.25">
      <c r="A342" s="46" t="s">
        <v>15</v>
      </c>
      <c r="B342" s="100" t="s">
        <v>175</v>
      </c>
      <c r="C342" s="101"/>
      <c r="D342" s="102"/>
      <c r="E342" s="141">
        <v>109</v>
      </c>
      <c r="F342" s="106">
        <v>0.2</v>
      </c>
      <c r="G342" s="102">
        <f t="shared" si="22"/>
        <v>21.8</v>
      </c>
      <c r="H342" s="104"/>
      <c r="I342" s="103">
        <f>21.8+G342</f>
        <v>43.6</v>
      </c>
      <c r="J342" s="102"/>
      <c r="K342" s="20">
        <f t="shared" si="21"/>
        <v>65.400000000000006</v>
      </c>
    </row>
    <row r="343" spans="1:11" s="105" customFormat="1" x14ac:dyDescent="0.25">
      <c r="A343" s="46" t="s">
        <v>15</v>
      </c>
      <c r="B343" s="100" t="s">
        <v>176</v>
      </c>
      <c r="C343" s="101"/>
      <c r="D343" s="102"/>
      <c r="E343" s="141">
        <v>549</v>
      </c>
      <c r="F343" s="106">
        <v>0.2</v>
      </c>
      <c r="G343" s="102">
        <f t="shared" si="22"/>
        <v>109.80000000000001</v>
      </c>
      <c r="H343" s="104"/>
      <c r="I343" s="103">
        <f>109.8+G343</f>
        <v>219.60000000000002</v>
      </c>
      <c r="J343" s="102"/>
      <c r="K343" s="20">
        <f t="shared" si="21"/>
        <v>329.4</v>
      </c>
    </row>
    <row r="344" spans="1:11" s="105" customFormat="1" x14ac:dyDescent="0.25">
      <c r="A344" s="46" t="s">
        <v>15</v>
      </c>
      <c r="B344" s="100" t="s">
        <v>177</v>
      </c>
      <c r="C344" s="101"/>
      <c r="D344" s="102"/>
      <c r="E344" s="141">
        <v>15738</v>
      </c>
      <c r="F344" s="106">
        <v>0.2</v>
      </c>
      <c r="G344" s="102">
        <f t="shared" si="22"/>
        <v>3147.6000000000004</v>
      </c>
      <c r="H344" s="104"/>
      <c r="I344" s="103">
        <f>3720.56+G344</f>
        <v>6868.16</v>
      </c>
      <c r="J344" s="102"/>
      <c r="K344" s="20">
        <f t="shared" si="21"/>
        <v>8869.84</v>
      </c>
    </row>
    <row r="345" spans="1:11" s="105" customFormat="1" x14ac:dyDescent="0.25">
      <c r="A345" s="46" t="s">
        <v>15</v>
      </c>
      <c r="B345" s="100" t="s">
        <v>177</v>
      </c>
      <c r="C345" s="101"/>
      <c r="D345" s="102"/>
      <c r="E345" s="141">
        <v>507.52</v>
      </c>
      <c r="F345" s="106">
        <v>0.2</v>
      </c>
      <c r="G345" s="102">
        <f t="shared" si="22"/>
        <v>101.504</v>
      </c>
      <c r="H345" s="104"/>
      <c r="I345" s="103">
        <f>152.25+G345</f>
        <v>253.75400000000002</v>
      </c>
      <c r="J345" s="102"/>
      <c r="K345" s="20">
        <f t="shared" si="21"/>
        <v>253.76599999999996</v>
      </c>
    </row>
    <row r="346" spans="1:11" s="105" customFormat="1" x14ac:dyDescent="0.25">
      <c r="A346" s="46" t="s">
        <v>15</v>
      </c>
      <c r="B346" s="100" t="s">
        <v>178</v>
      </c>
      <c r="C346" s="101"/>
      <c r="D346" s="102"/>
      <c r="E346" s="141">
        <v>37</v>
      </c>
      <c r="F346" s="106">
        <v>0.2</v>
      </c>
      <c r="G346" s="102">
        <f t="shared" si="22"/>
        <v>7.4</v>
      </c>
      <c r="H346" s="104"/>
      <c r="I346" s="103">
        <f>7.4+G346</f>
        <v>14.8</v>
      </c>
      <c r="J346" s="102"/>
      <c r="K346" s="20">
        <f t="shared" si="21"/>
        <v>22.2</v>
      </c>
    </row>
    <row r="347" spans="1:11" s="105" customFormat="1" x14ac:dyDescent="0.25">
      <c r="A347" s="46" t="s">
        <v>15</v>
      </c>
      <c r="B347" s="100" t="s">
        <v>179</v>
      </c>
      <c r="C347" s="101"/>
      <c r="D347" s="102"/>
      <c r="E347" s="141">
        <v>176.9</v>
      </c>
      <c r="F347" s="106">
        <v>0.2</v>
      </c>
      <c r="G347" s="102">
        <f t="shared" si="22"/>
        <v>35.380000000000003</v>
      </c>
      <c r="H347" s="104"/>
      <c r="I347" s="103">
        <f>35.38+G347</f>
        <v>70.760000000000005</v>
      </c>
      <c r="J347" s="102"/>
      <c r="K347" s="20">
        <f t="shared" si="21"/>
        <v>106.14</v>
      </c>
    </row>
    <row r="348" spans="1:11" s="105" customFormat="1" x14ac:dyDescent="0.25">
      <c r="A348" s="46" t="s">
        <v>15</v>
      </c>
      <c r="B348" s="100" t="s">
        <v>186</v>
      </c>
      <c r="C348" s="101"/>
      <c r="D348" s="102"/>
      <c r="E348" s="141">
        <v>144.66999999999999</v>
      </c>
      <c r="F348" s="106">
        <v>0.2</v>
      </c>
      <c r="G348" s="102">
        <f t="shared" si="22"/>
        <v>28.933999999999997</v>
      </c>
      <c r="H348" s="104"/>
      <c r="I348" s="103">
        <f>101.14+G348</f>
        <v>130.07400000000001</v>
      </c>
      <c r="J348" s="102"/>
      <c r="K348" s="20">
        <f t="shared" si="21"/>
        <v>14.595999999999975</v>
      </c>
    </row>
    <row r="349" spans="1:11" s="105" customFormat="1" x14ac:dyDescent="0.25">
      <c r="A349" s="46" t="s">
        <v>15</v>
      </c>
      <c r="B349" s="100" t="s">
        <v>187</v>
      </c>
      <c r="C349" s="101"/>
      <c r="D349" s="102"/>
      <c r="E349" s="141">
        <v>672</v>
      </c>
      <c r="F349" s="106">
        <v>0.2</v>
      </c>
      <c r="G349" s="102">
        <f t="shared" si="22"/>
        <v>134.4</v>
      </c>
      <c r="H349" s="104"/>
      <c r="I349" s="103">
        <f>470.4+G349</f>
        <v>604.79999999999995</v>
      </c>
      <c r="J349" s="102"/>
      <c r="K349" s="20">
        <f t="shared" si="21"/>
        <v>67.200000000000045</v>
      </c>
    </row>
    <row r="350" spans="1:11" s="105" customFormat="1" x14ac:dyDescent="0.25">
      <c r="A350" s="46" t="s">
        <v>15</v>
      </c>
      <c r="B350" s="100" t="s">
        <v>180</v>
      </c>
      <c r="C350" s="101"/>
      <c r="D350" s="102"/>
      <c r="E350" s="141">
        <v>302.5</v>
      </c>
      <c r="F350" s="106">
        <v>0.2</v>
      </c>
      <c r="G350" s="102">
        <f t="shared" si="22"/>
        <v>60.5</v>
      </c>
      <c r="H350" s="104"/>
      <c r="I350" s="103">
        <f>211.75+G350</f>
        <v>272.25</v>
      </c>
      <c r="J350" s="102"/>
      <c r="K350" s="20">
        <f t="shared" si="21"/>
        <v>30.25</v>
      </c>
    </row>
    <row r="351" spans="1:11" s="105" customFormat="1" x14ac:dyDescent="0.25">
      <c r="A351" s="46" t="s">
        <v>15</v>
      </c>
      <c r="B351" s="100" t="s">
        <v>181</v>
      </c>
      <c r="C351" s="101"/>
      <c r="D351" s="102"/>
      <c r="E351" s="141">
        <v>514.20000000000005</v>
      </c>
      <c r="F351" s="106">
        <v>0.2</v>
      </c>
      <c r="G351" s="102">
        <f t="shared" si="22"/>
        <v>102.84000000000002</v>
      </c>
      <c r="H351" s="104"/>
      <c r="I351" s="103">
        <f>205.68+G351</f>
        <v>308.52000000000004</v>
      </c>
      <c r="J351" s="102"/>
      <c r="K351" s="20">
        <f t="shared" si="21"/>
        <v>205.68</v>
      </c>
    </row>
    <row r="352" spans="1:11" s="105" customFormat="1" x14ac:dyDescent="0.25">
      <c r="A352" s="46" t="s">
        <v>15</v>
      </c>
      <c r="B352" s="100" t="s">
        <v>182</v>
      </c>
      <c r="C352" s="101"/>
      <c r="D352" s="102"/>
      <c r="E352" s="141">
        <v>3147.26</v>
      </c>
      <c r="F352" s="106">
        <v>0.2</v>
      </c>
      <c r="G352" s="102">
        <f t="shared" si="22"/>
        <v>629.45200000000011</v>
      </c>
      <c r="H352" s="104"/>
      <c r="I352" s="103">
        <f>1573.63+G352</f>
        <v>2203.0820000000003</v>
      </c>
      <c r="J352" s="102"/>
      <c r="K352" s="20">
        <f t="shared" si="21"/>
        <v>944.17799999999988</v>
      </c>
    </row>
    <row r="353" spans="1:13" s="105" customFormat="1" x14ac:dyDescent="0.25">
      <c r="A353" s="46" t="s">
        <v>15</v>
      </c>
      <c r="B353" s="100" t="s">
        <v>183</v>
      </c>
      <c r="C353" s="101"/>
      <c r="D353" s="102"/>
      <c r="E353" s="141">
        <v>242</v>
      </c>
      <c r="F353" s="106">
        <v>0.2</v>
      </c>
      <c r="G353" s="102">
        <f t="shared" si="22"/>
        <v>48.400000000000006</v>
      </c>
      <c r="H353" s="104"/>
      <c r="I353" s="103">
        <f>121+G353</f>
        <v>169.4</v>
      </c>
      <c r="J353" s="102"/>
      <c r="K353" s="20">
        <f t="shared" si="21"/>
        <v>72.599999999999994</v>
      </c>
    </row>
    <row r="354" spans="1:13" s="105" customFormat="1" x14ac:dyDescent="0.25">
      <c r="A354" s="46" t="s">
        <v>15</v>
      </c>
      <c r="B354" s="100" t="s">
        <v>184</v>
      </c>
      <c r="C354" s="101"/>
      <c r="D354" s="102"/>
      <c r="E354" s="141">
        <v>671</v>
      </c>
      <c r="F354" s="106">
        <v>0.2</v>
      </c>
      <c r="G354" s="102">
        <f t="shared" si="22"/>
        <v>134.20000000000002</v>
      </c>
      <c r="H354" s="104"/>
      <c r="I354" s="103">
        <f>134.2+G354</f>
        <v>268.39999999999998</v>
      </c>
      <c r="J354" s="102"/>
      <c r="K354" s="20">
        <f t="shared" si="21"/>
        <v>402.6</v>
      </c>
    </row>
    <row r="355" spans="1:13" s="105" customFormat="1" x14ac:dyDescent="0.25">
      <c r="A355" s="46" t="s">
        <v>15</v>
      </c>
      <c r="B355" s="100" t="s">
        <v>185</v>
      </c>
      <c r="C355" s="101"/>
      <c r="D355" s="102"/>
      <c r="E355" s="141">
        <v>3147.26</v>
      </c>
      <c r="F355" s="106">
        <v>0.2</v>
      </c>
      <c r="G355" s="102">
        <f t="shared" si="22"/>
        <v>629.45200000000011</v>
      </c>
      <c r="H355" s="104"/>
      <c r="I355" s="103">
        <f>1398.77+G355</f>
        <v>2028.2220000000002</v>
      </c>
      <c r="J355" s="102"/>
      <c r="K355" s="20">
        <f t="shared" si="21"/>
        <v>1119.038</v>
      </c>
    </row>
    <row r="356" spans="1:13" s="105" customFormat="1" x14ac:dyDescent="0.25">
      <c r="A356" s="107" t="s">
        <v>15</v>
      </c>
      <c r="B356" s="100" t="s">
        <v>190</v>
      </c>
      <c r="C356" s="101"/>
      <c r="D356" s="102"/>
      <c r="E356" s="165">
        <v>0</v>
      </c>
      <c r="F356" s="106"/>
      <c r="G356" s="102">
        <v>0</v>
      </c>
      <c r="H356" s="104"/>
      <c r="I356" s="103">
        <v>0.22</v>
      </c>
      <c r="J356" s="102"/>
      <c r="K356" s="102">
        <f t="shared" si="21"/>
        <v>-0.22</v>
      </c>
    </row>
    <row r="357" spans="1:13" s="105" customFormat="1" x14ac:dyDescent="0.25">
      <c r="A357" s="107" t="s">
        <v>15</v>
      </c>
      <c r="B357" s="100" t="s">
        <v>188</v>
      </c>
      <c r="C357" s="101"/>
      <c r="D357" s="102"/>
      <c r="E357" s="165">
        <v>1872.6</v>
      </c>
      <c r="F357" s="106"/>
      <c r="G357" s="102">
        <v>2</v>
      </c>
      <c r="H357" s="104"/>
      <c r="I357" s="103">
        <f>1870.6+G357</f>
        <v>1872.6</v>
      </c>
      <c r="J357" s="102"/>
      <c r="K357" s="102">
        <v>0</v>
      </c>
    </row>
    <row r="358" spans="1:13" s="105" customFormat="1" x14ac:dyDescent="0.25">
      <c r="A358" s="107" t="s">
        <v>15</v>
      </c>
      <c r="B358" s="100" t="s">
        <v>189</v>
      </c>
      <c r="C358" s="101"/>
      <c r="D358" s="102"/>
      <c r="E358" s="141">
        <v>2440</v>
      </c>
      <c r="F358" s="106"/>
      <c r="G358" s="102"/>
      <c r="H358" s="104"/>
      <c r="I358" s="103">
        <v>0</v>
      </c>
      <c r="J358" s="102"/>
      <c r="K358" s="102">
        <f t="shared" si="21"/>
        <v>2440</v>
      </c>
    </row>
    <row r="359" spans="1:13" s="94" customFormat="1" x14ac:dyDescent="0.25">
      <c r="A359" s="70"/>
      <c r="B359" s="77" t="s">
        <v>166</v>
      </c>
      <c r="C359" s="13"/>
      <c r="D359" s="23"/>
      <c r="E359" s="156">
        <f>SUM(E314:E358)</f>
        <v>137799.70000000001</v>
      </c>
      <c r="F359" s="28"/>
      <c r="G359" s="23">
        <f>SUM(G336:G358)</f>
        <v>7473.5440000000008</v>
      </c>
      <c r="H359" s="24"/>
      <c r="I359" s="93">
        <f>SUM(I314:I358)</f>
        <v>116453.40400000004</v>
      </c>
      <c r="J359" s="23"/>
      <c r="K359" s="23">
        <f>SUM(K314:K358)</f>
        <v>21346.295999999995</v>
      </c>
      <c r="M359" s="98"/>
    </row>
    <row r="360" spans="1:13" x14ac:dyDescent="0.25">
      <c r="A360" s="46"/>
      <c r="B360" s="5"/>
      <c r="C360" s="4"/>
      <c r="D360" s="20"/>
      <c r="E360" s="103"/>
      <c r="F360" s="27"/>
      <c r="G360" s="20"/>
      <c r="H360" s="22"/>
      <c r="I360" s="21"/>
      <c r="J360" s="20"/>
      <c r="K360" s="20"/>
    </row>
    <row r="361" spans="1:13" x14ac:dyDescent="0.25">
      <c r="A361" s="46"/>
      <c r="B361" s="12" t="s">
        <v>191</v>
      </c>
      <c r="C361" s="4"/>
      <c r="D361" s="20"/>
      <c r="E361" s="103"/>
      <c r="F361" s="27"/>
      <c r="G361" s="20"/>
      <c r="H361" s="22"/>
      <c r="I361" s="21"/>
      <c r="J361" s="20"/>
      <c r="K361" s="20"/>
    </row>
    <row r="362" spans="1:13" x14ac:dyDescent="0.25">
      <c r="A362" s="46" t="s">
        <v>15</v>
      </c>
      <c r="B362" s="5" t="s">
        <v>349</v>
      </c>
      <c r="C362" s="4"/>
      <c r="D362" s="20"/>
      <c r="E362" s="103">
        <v>38484.17</v>
      </c>
      <c r="F362" s="27"/>
      <c r="G362" s="20"/>
      <c r="H362" s="22"/>
      <c r="I362" s="21">
        <v>38484.17</v>
      </c>
      <c r="J362" s="20"/>
      <c r="K362" s="20">
        <v>0</v>
      </c>
    </row>
    <row r="363" spans="1:13" x14ac:dyDescent="0.25">
      <c r="A363" s="46" t="s">
        <v>15</v>
      </c>
      <c r="B363" s="5" t="s">
        <v>272</v>
      </c>
      <c r="C363" s="4"/>
      <c r="D363" s="20"/>
      <c r="E363" s="103">
        <v>35760</v>
      </c>
      <c r="F363" s="27"/>
      <c r="G363" s="20"/>
      <c r="H363" s="22"/>
      <c r="I363" s="21">
        <v>35760</v>
      </c>
      <c r="J363" s="20"/>
      <c r="K363" s="20">
        <v>0</v>
      </c>
    </row>
    <row r="364" spans="1:13" x14ac:dyDescent="0.25">
      <c r="A364" s="46" t="s">
        <v>15</v>
      </c>
      <c r="B364" s="5" t="s">
        <v>273</v>
      </c>
      <c r="C364" s="4"/>
      <c r="D364" s="20"/>
      <c r="E364" s="103">
        <v>270.73</v>
      </c>
      <c r="F364" s="27"/>
      <c r="G364" s="20"/>
      <c r="H364" s="22"/>
      <c r="I364" s="21">
        <v>270.73</v>
      </c>
      <c r="J364" s="20"/>
      <c r="K364" s="20">
        <v>0</v>
      </c>
    </row>
    <row r="365" spans="1:13" s="94" customFormat="1" x14ac:dyDescent="0.25">
      <c r="A365" s="70"/>
      <c r="B365" s="77" t="s">
        <v>166</v>
      </c>
      <c r="C365" s="13"/>
      <c r="D365" s="23"/>
      <c r="E365" s="154">
        <f>SUM(E362:E364)</f>
        <v>74514.899999999994</v>
      </c>
      <c r="F365" s="28"/>
      <c r="G365" s="23">
        <v>0</v>
      </c>
      <c r="H365" s="24"/>
      <c r="I365" s="93">
        <f>SUM(I362:I364)</f>
        <v>74514.899999999994</v>
      </c>
      <c r="J365" s="23"/>
      <c r="K365" s="23">
        <v>0</v>
      </c>
    </row>
    <row r="366" spans="1:13" x14ac:dyDescent="0.25">
      <c r="A366" s="46"/>
      <c r="B366" s="5"/>
      <c r="C366" s="4"/>
      <c r="D366" s="20"/>
      <c r="E366" s="103"/>
      <c r="F366" s="27"/>
      <c r="G366" s="20"/>
      <c r="H366" s="22"/>
      <c r="I366" s="21"/>
      <c r="J366" s="20"/>
      <c r="K366" s="20"/>
    </row>
    <row r="367" spans="1:13" x14ac:dyDescent="0.25">
      <c r="A367" s="46"/>
      <c r="B367" s="12" t="s">
        <v>195</v>
      </c>
      <c r="C367" s="4"/>
      <c r="D367" s="20"/>
      <c r="E367" s="103"/>
      <c r="F367" s="27"/>
      <c r="G367" s="20"/>
      <c r="H367" s="22"/>
      <c r="I367" s="21"/>
      <c r="J367" s="20"/>
      <c r="K367" s="20"/>
    </row>
    <row r="368" spans="1:13" x14ac:dyDescent="0.25">
      <c r="A368" s="46" t="s">
        <v>15</v>
      </c>
      <c r="B368" s="5" t="s">
        <v>196</v>
      </c>
      <c r="C368" s="4"/>
      <c r="D368" s="20"/>
      <c r="E368" s="103">
        <v>7983</v>
      </c>
      <c r="F368" s="27"/>
      <c r="G368" s="20"/>
      <c r="H368" s="22"/>
      <c r="I368" s="21">
        <v>7983</v>
      </c>
      <c r="J368" s="20"/>
      <c r="K368" s="20">
        <v>0</v>
      </c>
    </row>
    <row r="369" spans="1:11" x14ac:dyDescent="0.25">
      <c r="A369" s="46"/>
      <c r="B369" s="77" t="s">
        <v>166</v>
      </c>
      <c r="C369" s="4"/>
      <c r="D369" s="20"/>
      <c r="E369" s="154">
        <f>SUM(E368)</f>
        <v>7983</v>
      </c>
      <c r="F369" s="28"/>
      <c r="G369" s="23">
        <v>0</v>
      </c>
      <c r="H369" s="24"/>
      <c r="I369" s="93">
        <f>SUM(I368)</f>
        <v>7983</v>
      </c>
      <c r="J369" s="23"/>
      <c r="K369" s="23">
        <v>0</v>
      </c>
    </row>
    <row r="370" spans="1:11" x14ac:dyDescent="0.25">
      <c r="A370" s="46"/>
      <c r="B370" s="5"/>
      <c r="C370" s="4"/>
      <c r="D370" s="20"/>
      <c r="E370" s="103"/>
      <c r="F370" s="27"/>
      <c r="G370" s="20"/>
      <c r="H370" s="22"/>
      <c r="I370" s="21"/>
      <c r="J370" s="20"/>
      <c r="K370" s="20"/>
    </row>
    <row r="371" spans="1:11" x14ac:dyDescent="0.25">
      <c r="A371" s="46"/>
      <c r="B371" s="12" t="s">
        <v>197</v>
      </c>
      <c r="C371" s="4"/>
      <c r="D371" s="20"/>
      <c r="E371" s="103"/>
      <c r="F371" s="27"/>
      <c r="G371" s="20"/>
      <c r="H371" s="22"/>
      <c r="I371" s="21"/>
      <c r="J371" s="20"/>
      <c r="K371" s="20"/>
    </row>
    <row r="372" spans="1:11" x14ac:dyDescent="0.25">
      <c r="A372" s="46" t="s">
        <v>15</v>
      </c>
      <c r="B372" s="5" t="s">
        <v>274</v>
      </c>
      <c r="C372" s="4"/>
      <c r="D372" s="20"/>
      <c r="E372" s="103">
        <v>1717.36</v>
      </c>
      <c r="F372" s="27"/>
      <c r="G372" s="20"/>
      <c r="H372" s="22"/>
      <c r="I372" s="21">
        <v>1717.36</v>
      </c>
      <c r="J372" s="20"/>
      <c r="K372" s="20"/>
    </row>
    <row r="373" spans="1:11" x14ac:dyDescent="0.25">
      <c r="A373" s="46" t="s">
        <v>15</v>
      </c>
      <c r="B373" s="5" t="s">
        <v>275</v>
      </c>
      <c r="C373" s="4"/>
      <c r="D373" s="20"/>
      <c r="E373" s="103">
        <v>465.6</v>
      </c>
      <c r="F373" s="27"/>
      <c r="G373" s="20"/>
      <c r="H373" s="22"/>
      <c r="I373" s="21">
        <v>465.6</v>
      </c>
      <c r="J373" s="20"/>
      <c r="K373" s="20"/>
    </row>
    <row r="374" spans="1:11" x14ac:dyDescent="0.25">
      <c r="A374" s="46" t="s">
        <v>15</v>
      </c>
      <c r="B374" s="5" t="s">
        <v>276</v>
      </c>
      <c r="C374" s="4"/>
      <c r="D374" s="20"/>
      <c r="E374" s="103">
        <v>2601.5</v>
      </c>
      <c r="F374" s="76">
        <v>0.33</v>
      </c>
      <c r="G374" s="20">
        <v>434.45</v>
      </c>
      <c r="H374" s="22"/>
      <c r="I374" s="21">
        <f>2167.05+G374</f>
        <v>2601.5</v>
      </c>
      <c r="J374" s="20"/>
      <c r="K374" s="20">
        <f t="shared" ref="K374:K375" si="23">E374-I374</f>
        <v>0</v>
      </c>
    </row>
    <row r="375" spans="1:11" s="105" customFormat="1" x14ac:dyDescent="0.25">
      <c r="A375" s="107" t="s">
        <v>15</v>
      </c>
      <c r="B375" s="118" t="s">
        <v>198</v>
      </c>
      <c r="C375" s="101"/>
      <c r="D375" s="102"/>
      <c r="E375" s="103">
        <v>3600</v>
      </c>
      <c r="F375" s="157"/>
      <c r="G375" s="102"/>
      <c r="H375" s="104"/>
      <c r="I375" s="103">
        <v>4200.5</v>
      </c>
      <c r="J375" s="102"/>
      <c r="K375" s="102">
        <f t="shared" si="23"/>
        <v>-600.5</v>
      </c>
    </row>
    <row r="376" spans="1:11" x14ac:dyDescent="0.25">
      <c r="A376" s="46" t="s">
        <v>15</v>
      </c>
      <c r="B376" s="5" t="s">
        <v>196</v>
      </c>
      <c r="C376" s="4"/>
      <c r="D376" s="20"/>
      <c r="E376" s="103">
        <v>15034.93</v>
      </c>
      <c r="F376" s="76">
        <v>0.33</v>
      </c>
      <c r="G376" s="20">
        <f>E376*F376</f>
        <v>4961.5269000000008</v>
      </c>
      <c r="H376" s="22"/>
      <c r="I376" s="21">
        <f>1503.49+G376</f>
        <v>6465.0169000000005</v>
      </c>
      <c r="J376" s="20"/>
      <c r="K376" s="20">
        <f>E376-I376</f>
        <v>8569.9130999999998</v>
      </c>
    </row>
    <row r="377" spans="1:11" s="94" customFormat="1" x14ac:dyDescent="0.25">
      <c r="A377" s="70"/>
      <c r="B377" s="77" t="s">
        <v>166</v>
      </c>
      <c r="C377" s="13"/>
      <c r="D377" s="23"/>
      <c r="E377" s="154">
        <f>SUM(E372:E376)</f>
        <v>23419.39</v>
      </c>
      <c r="F377" s="28"/>
      <c r="G377" s="23">
        <f>SUM(G374:G376)</f>
        <v>5395.9769000000006</v>
      </c>
      <c r="H377" s="24"/>
      <c r="I377" s="93">
        <f>SUM(I372:I376)</f>
        <v>15449.9769</v>
      </c>
      <c r="J377" s="23"/>
      <c r="K377" s="23">
        <f>SUM(K374:K376)</f>
        <v>7969.4130999999998</v>
      </c>
    </row>
    <row r="378" spans="1:11" x14ac:dyDescent="0.25">
      <c r="A378" s="46"/>
      <c r="B378" s="5"/>
      <c r="C378" s="4"/>
      <c r="D378" s="20"/>
      <c r="E378" s="103"/>
      <c r="F378" s="27"/>
      <c r="G378" s="20"/>
      <c r="H378" s="22"/>
      <c r="I378" s="21"/>
      <c r="J378" s="20"/>
      <c r="K378" s="20"/>
    </row>
  </sheetData>
  <phoneticPr fontId="4" type="noConversion"/>
  <printOptions horizontalCentered="1"/>
  <pageMargins left="0" right="0" top="0.98425196850393704" bottom="0.35433070866141736" header="0.39370078740157483" footer="0.31496062992125984"/>
  <pageSetup paperSize="9" orientation="landscape" r:id="rId1"/>
  <headerFooter scaleWithDoc="0" alignWithMargins="0">
    <oddHeader xml:space="preserve">&amp;L&amp;"Arial,Grassetto"&amp;9CANTINA DI CONEGLIANO E VITTORIO VENETO SAC&amp;"Arial,Normale"
Via del Campardo, 3 - 31029 VITTORIO VENETO (TV)
CF e P.IVA: 00190690263 Isc.Albo Coop.TV A142425&amp;RREGISTRO BENI AMMORTIZZABILI Sede di  Fontanafredda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Cantina di S. Giacomo</dc:creator>
  <cp:lastModifiedBy>user</cp:lastModifiedBy>
  <cp:lastPrinted>2018-02-12T09:30:01Z</cp:lastPrinted>
  <dcterms:created xsi:type="dcterms:W3CDTF">2000-03-31T13:11:42Z</dcterms:created>
  <dcterms:modified xsi:type="dcterms:W3CDTF">2018-02-12T09:30:03Z</dcterms:modified>
</cp:coreProperties>
</file>