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12" windowWidth="11340" windowHeight="6540"/>
  </bookViews>
  <sheets>
    <sheet name="Foglio1" sheetId="1" r:id="rId1"/>
  </sheets>
  <definedNames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K95" i="1" l="1"/>
  <c r="E95" i="1" l="1"/>
  <c r="I233" i="1" l="1"/>
  <c r="I232" i="1"/>
  <c r="I231" i="1"/>
  <c r="I230" i="1"/>
  <c r="I229" i="1"/>
  <c r="E206" i="1"/>
  <c r="I205" i="1"/>
  <c r="K205" i="1" s="1"/>
  <c r="I202" i="1"/>
  <c r="G205" i="1"/>
  <c r="I175" i="1"/>
  <c r="I174" i="1"/>
  <c r="I173" i="1"/>
  <c r="I172" i="1"/>
  <c r="I171" i="1"/>
  <c r="I91" i="1"/>
  <c r="K27" i="1"/>
  <c r="E28" i="1"/>
  <c r="E18" i="1"/>
  <c r="E235" i="1" l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26" i="1"/>
  <c r="K226" i="1" s="1"/>
  <c r="I227" i="1"/>
  <c r="K227" i="1" s="1"/>
  <c r="I228" i="1"/>
  <c r="K228" i="1" s="1"/>
  <c r="I209" i="1"/>
  <c r="I186" i="1"/>
  <c r="K186" i="1" s="1"/>
  <c r="I187" i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I200" i="1"/>
  <c r="K200" i="1" s="1"/>
  <c r="I185" i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2" i="1"/>
  <c r="K162" i="1" s="1"/>
  <c r="I165" i="1"/>
  <c r="K165" i="1" s="1"/>
  <c r="I166" i="1"/>
  <c r="K166" i="1" s="1"/>
  <c r="I167" i="1"/>
  <c r="K167" i="1" s="1"/>
  <c r="I168" i="1"/>
  <c r="K168" i="1" s="1"/>
  <c r="E169" i="1"/>
  <c r="I169" i="1" s="1"/>
  <c r="K169" i="1" s="1"/>
  <c r="E164" i="1"/>
  <c r="E163" i="1"/>
  <c r="E161" i="1"/>
  <c r="I161" i="1" s="1"/>
  <c r="K161" i="1" s="1"/>
  <c r="E149" i="1"/>
  <c r="I149" i="1" s="1"/>
  <c r="K149" i="1" s="1"/>
  <c r="I124" i="1"/>
  <c r="K124" i="1" s="1"/>
  <c r="I125" i="1"/>
  <c r="K125" i="1" s="1"/>
  <c r="I126" i="1"/>
  <c r="K126" i="1" s="1"/>
  <c r="I127" i="1"/>
  <c r="K127" i="1" s="1"/>
  <c r="I129" i="1"/>
  <c r="K129" i="1" s="1"/>
  <c r="I131" i="1"/>
  <c r="K131" i="1" s="1"/>
  <c r="I132" i="1"/>
  <c r="K132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4" i="1"/>
  <c r="K144" i="1" s="1"/>
  <c r="I145" i="1"/>
  <c r="K145" i="1" s="1"/>
  <c r="I146" i="1"/>
  <c r="K146" i="1" s="1"/>
  <c r="I147" i="1"/>
  <c r="K147" i="1" s="1"/>
  <c r="I148" i="1"/>
  <c r="K148" i="1" s="1"/>
  <c r="I101" i="1"/>
  <c r="K101" i="1" s="1"/>
  <c r="I102" i="1"/>
  <c r="K102" i="1" s="1"/>
  <c r="I104" i="1"/>
  <c r="K104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I115" i="1"/>
  <c r="K115" i="1" s="1"/>
  <c r="I116" i="1"/>
  <c r="K116" i="1" s="1"/>
  <c r="I117" i="1"/>
  <c r="K117" i="1" s="1"/>
  <c r="I118" i="1"/>
  <c r="K118" i="1" s="1"/>
  <c r="I119" i="1"/>
  <c r="K119" i="1" s="1"/>
  <c r="I122" i="1"/>
  <c r="K122" i="1" s="1"/>
  <c r="I123" i="1"/>
  <c r="K123" i="1" s="1"/>
  <c r="I98" i="1"/>
  <c r="K98" i="1" s="1"/>
  <c r="E143" i="1"/>
  <c r="E133" i="1"/>
  <c r="I133" i="1" s="1"/>
  <c r="K133" i="1" s="1"/>
  <c r="E130" i="1"/>
  <c r="I130" i="1" s="1"/>
  <c r="E128" i="1"/>
  <c r="I128" i="1" s="1"/>
  <c r="E121" i="1"/>
  <c r="E120" i="1"/>
  <c r="I120" i="1" s="1"/>
  <c r="K120" i="1" s="1"/>
  <c r="E114" i="1"/>
  <c r="E109" i="1"/>
  <c r="E103" i="1"/>
  <c r="I103" i="1" s="1"/>
  <c r="K103" i="1" s="1"/>
  <c r="E100" i="1"/>
  <c r="I100" i="1" s="1"/>
  <c r="K100" i="1" s="1"/>
  <c r="E99" i="1"/>
  <c r="E46" i="1"/>
  <c r="I46" i="1" s="1"/>
  <c r="K46" i="1" s="1"/>
  <c r="E81" i="1"/>
  <c r="I81" i="1" s="1"/>
  <c r="K81" i="1" s="1"/>
  <c r="E74" i="1"/>
  <c r="I74" i="1" s="1"/>
  <c r="K74" i="1" s="1"/>
  <c r="E85" i="1"/>
  <c r="I85" i="1" s="1"/>
  <c r="K85" i="1" s="1"/>
  <c r="E80" i="1"/>
  <c r="I80" i="1" s="1"/>
  <c r="K80" i="1" s="1"/>
  <c r="E66" i="1"/>
  <c r="I66" i="1" s="1"/>
  <c r="K66" i="1" s="1"/>
  <c r="I45" i="1"/>
  <c r="K45" i="1" s="1"/>
  <c r="I86" i="1"/>
  <c r="K86" i="1" s="1"/>
  <c r="I87" i="1"/>
  <c r="K87" i="1" s="1"/>
  <c r="I88" i="1"/>
  <c r="K88" i="1" s="1"/>
  <c r="I89" i="1"/>
  <c r="K89" i="1" s="1"/>
  <c r="I73" i="1"/>
  <c r="K73" i="1" s="1"/>
  <c r="I75" i="1"/>
  <c r="K75" i="1" s="1"/>
  <c r="I76" i="1"/>
  <c r="K76" i="1" s="1"/>
  <c r="I77" i="1"/>
  <c r="K77" i="1" s="1"/>
  <c r="I78" i="1"/>
  <c r="K78" i="1" s="1"/>
  <c r="I79" i="1"/>
  <c r="K79" i="1" s="1"/>
  <c r="I82" i="1"/>
  <c r="K82" i="1" s="1"/>
  <c r="I83" i="1"/>
  <c r="K83" i="1" s="1"/>
  <c r="I84" i="1"/>
  <c r="K84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7" i="1"/>
  <c r="K47" i="1" s="1"/>
  <c r="I31" i="1"/>
  <c r="K31" i="1" l="1"/>
  <c r="K185" i="1"/>
  <c r="K209" i="1"/>
  <c r="K187" i="1"/>
  <c r="E182" i="1"/>
  <c r="I143" i="1"/>
  <c r="K143" i="1" s="1"/>
  <c r="I163" i="1"/>
  <c r="K163" i="1" s="1"/>
  <c r="I164" i="1"/>
  <c r="K164" i="1" s="1"/>
  <c r="I109" i="1"/>
  <c r="K109" i="1" s="1"/>
  <c r="I114" i="1"/>
  <c r="K114" i="1" s="1"/>
  <c r="K130" i="1"/>
  <c r="I99" i="1"/>
  <c r="K99" i="1" s="1"/>
  <c r="K128" i="1"/>
  <c r="I121" i="1"/>
  <c r="K121" i="1" s="1"/>
  <c r="E10" i="1"/>
  <c r="J7" i="1"/>
  <c r="J8" i="1"/>
  <c r="J9" i="1"/>
  <c r="J6" i="1"/>
  <c r="E239" i="1"/>
  <c r="K238" i="1"/>
  <c r="K239" i="1" s="1"/>
  <c r="K230" i="1"/>
  <c r="K231" i="1"/>
  <c r="K232" i="1"/>
  <c r="K233" i="1"/>
  <c r="G234" i="1"/>
  <c r="K201" i="1"/>
  <c r="G203" i="1"/>
  <c r="G204" i="1"/>
  <c r="K181" i="1"/>
  <c r="G181" i="1"/>
  <c r="I181" i="1" s="1"/>
  <c r="K172" i="1"/>
  <c r="K173" i="1"/>
  <c r="K174" i="1"/>
  <c r="K175" i="1"/>
  <c r="G176" i="1"/>
  <c r="G177" i="1"/>
  <c r="G178" i="1"/>
  <c r="G179" i="1"/>
  <c r="G180" i="1"/>
  <c r="G93" i="1"/>
  <c r="G92" i="1"/>
  <c r="K90" i="1"/>
  <c r="G25" i="1"/>
  <c r="G26" i="1"/>
  <c r="K22" i="1"/>
  <c r="K23" i="1"/>
  <c r="K24" i="1"/>
  <c r="K21" i="1"/>
  <c r="G14" i="1"/>
  <c r="G15" i="1"/>
  <c r="G16" i="1"/>
  <c r="G17" i="1"/>
  <c r="G13" i="1"/>
  <c r="G18" i="1" l="1"/>
  <c r="I13" i="1"/>
  <c r="I14" i="1"/>
  <c r="K14" i="1" s="1"/>
  <c r="G28" i="1"/>
  <c r="K25" i="1"/>
  <c r="G95" i="1"/>
  <c r="I92" i="1"/>
  <c r="G206" i="1"/>
  <c r="I203" i="1"/>
  <c r="K234" i="1"/>
  <c r="I234" i="1"/>
  <c r="I235" i="1" s="1"/>
  <c r="K16" i="1"/>
  <c r="I16" i="1"/>
  <c r="K17" i="1"/>
  <c r="I17" i="1"/>
  <c r="K15" i="1"/>
  <c r="I15" i="1"/>
  <c r="I26" i="1"/>
  <c r="I28" i="1" s="1"/>
  <c r="I93" i="1"/>
  <c r="K93" i="1" s="1"/>
  <c r="I204" i="1"/>
  <c r="K204" i="1" s="1"/>
  <c r="I180" i="1"/>
  <c r="K180" i="1" s="1"/>
  <c r="I176" i="1"/>
  <c r="K176" i="1" s="1"/>
  <c r="I177" i="1"/>
  <c r="K177" i="1" s="1"/>
  <c r="K178" i="1"/>
  <c r="I178" i="1"/>
  <c r="I179" i="1"/>
  <c r="K179" i="1" s="1"/>
  <c r="G235" i="1"/>
  <c r="J10" i="1"/>
  <c r="I239" i="1"/>
  <c r="K170" i="1"/>
  <c r="G182" i="1"/>
  <c r="K171" i="1"/>
  <c r="K13" i="1"/>
  <c r="I18" i="1"/>
  <c r="K28" i="1" l="1"/>
  <c r="I95" i="1"/>
  <c r="K92" i="1"/>
  <c r="K18" i="1"/>
  <c r="K26" i="1"/>
  <c r="I206" i="1"/>
  <c r="K203" i="1"/>
  <c r="K202" i="1"/>
  <c r="I182" i="1"/>
  <c r="K182" i="1"/>
  <c r="K229" i="1"/>
  <c r="K235" i="1" s="1"/>
  <c r="K91" i="1"/>
  <c r="K206" i="1" l="1"/>
</calcChain>
</file>

<file path=xl/sharedStrings.xml><?xml version="1.0" encoding="utf-8"?>
<sst xmlns="http://schemas.openxmlformats.org/spreadsheetml/2006/main" count="455" uniqueCount="235">
  <si>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</si>
  <si>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</si>
  <si>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</si>
  <si>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</si>
  <si>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</si>
  <si>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</si>
  <si>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</si>
  <si>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</si>
  <si>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</si>
  <si>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</si>
  <si>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</si>
  <si>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</si>
  <si>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</si>
  <si>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</si>
  <si>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IMPIANTI</t>
  </si>
  <si>
    <t>MACCHINE ENOLOGICHE</t>
  </si>
  <si>
    <t>TERRENI</t>
  </si>
  <si>
    <t>Lavori Granziera</t>
  </si>
  <si>
    <t>Lavori Impresa Biemme</t>
  </si>
  <si>
    <t>Lavori Frai Chimica</t>
  </si>
  <si>
    <t>Lavori Chiesura</t>
  </si>
  <si>
    <t>Fabbricato sito in Via Maggiore Piovesana</t>
  </si>
  <si>
    <t>Impianto idraulico</t>
  </si>
  <si>
    <t>Impianto elettrico</t>
  </si>
  <si>
    <t>Adeguamento impianto elettrico</t>
  </si>
  <si>
    <t>Impianto saturazione azoto</t>
  </si>
  <si>
    <t>Impianto refrigerazione</t>
  </si>
  <si>
    <t>Impianto allarme</t>
  </si>
  <si>
    <t>TOTALE</t>
  </si>
  <si>
    <t>Kit misura Ph e temperatura</t>
  </si>
  <si>
    <t>Pompa ideal 1010 2C GL inox</t>
  </si>
  <si>
    <t>Gruppo frigo Granzotto</t>
  </si>
  <si>
    <t>Impianto elettrico gruppo frig.</t>
  </si>
  <si>
    <t>ATTREZZATURE</t>
  </si>
  <si>
    <t>Trapano Aeg Mtr.07321/2011</t>
  </si>
  <si>
    <t>Autorespiratore con accessori</t>
  </si>
  <si>
    <t>Rilevatore monogas 02</t>
  </si>
  <si>
    <t>Calcolatrice Ibico 1221X</t>
  </si>
  <si>
    <t>Transpallet manuale Allum. 4R</t>
  </si>
  <si>
    <t>Struttura frigorifero Mia infissi</t>
  </si>
  <si>
    <t>Progetto Arch. Montesel</t>
  </si>
  <si>
    <t>Bilichetto elettronico</t>
  </si>
  <si>
    <t>Pompa Caldepa Pedol Spa</t>
  </si>
  <si>
    <t xml:space="preserve">Pompa sommersa </t>
  </si>
  <si>
    <t>Agitatore estraibile Eno Service Srl</t>
  </si>
  <si>
    <t>MOBILI E ARREDI</t>
  </si>
  <si>
    <t>Cassaforte conforti</t>
  </si>
  <si>
    <t>Frigo Cantinetta Nera</t>
  </si>
  <si>
    <t>Poltrona direzione</t>
  </si>
  <si>
    <t>Tende a rullo per spaccio</t>
  </si>
  <si>
    <t xml:space="preserve">MACCHINE ELETTRONICHE </t>
  </si>
  <si>
    <t>PC Fujtsu Mtr YLCM279287</t>
  </si>
  <si>
    <t>PC Fujtsu Mtr YLCM279234</t>
  </si>
  <si>
    <t xml:space="preserve">Server HP Proliant </t>
  </si>
  <si>
    <t>Nas Bufalo</t>
  </si>
  <si>
    <t>Moxa Nport</t>
  </si>
  <si>
    <t>Stampante Epson LX 350</t>
  </si>
  <si>
    <t>AUTOMEZZI</t>
  </si>
  <si>
    <t>Fiat Fiorino DZ77ITY</t>
  </si>
  <si>
    <t>Terreno</t>
  </si>
  <si>
    <t>Terreno Dietro Presse Permuta</t>
  </si>
  <si>
    <t>Terreno San Giuseppe</t>
  </si>
  <si>
    <t>Preliminare Sig. Bin</t>
  </si>
  <si>
    <t>TOTALE:</t>
  </si>
  <si>
    <t>Sonda preleva campioni</t>
  </si>
  <si>
    <t>Carrello per Sonda</t>
  </si>
  <si>
    <t>Serbatoio Fibravetro da 100 HL</t>
  </si>
  <si>
    <t>Ventilatore Elicoidale</t>
  </si>
  <si>
    <t>Scioglitore Cadalpe</t>
  </si>
  <si>
    <t>Impianto Refrigerazione</t>
  </si>
  <si>
    <t>Pompa per refrigerazione</t>
  </si>
  <si>
    <t>Filtro per farina fossile</t>
  </si>
  <si>
    <t>Pompa usata Tabanelli</t>
  </si>
  <si>
    <t>Pompa usata Ragazzini 900</t>
  </si>
  <si>
    <t>Pompa usata Ragazzini 700</t>
  </si>
  <si>
    <t>Impianto con 5 Vinificatori</t>
  </si>
  <si>
    <t>Lavori per vinificatori</t>
  </si>
  <si>
    <t xml:space="preserve">10 Nastri trasportatori </t>
  </si>
  <si>
    <t xml:space="preserve">Impianto Refrigerazione Mosti </t>
  </si>
  <si>
    <t>Lavori installo presse</t>
  </si>
  <si>
    <t>Strutture Presse</t>
  </si>
  <si>
    <t>Centrifuga Laboratorio</t>
  </si>
  <si>
    <t>Pompa Vuoto KNF 735 3 DN 18 EN</t>
  </si>
  <si>
    <t>Microfiltro Pl Perdomini</t>
  </si>
  <si>
    <t>Quadro Comando per ferm. Vinif.</t>
  </si>
  <si>
    <t>Staz. Rifrattometrica Eno D4</t>
  </si>
  <si>
    <t>Filtro Master Light 40x40</t>
  </si>
  <si>
    <t>Pompa ragazzini Mod. RC2</t>
  </si>
  <si>
    <t>Pompa ragazzini Mod. 5NCM</t>
  </si>
  <si>
    <t>Filtro sottovuoto Taylo Lux15</t>
  </si>
  <si>
    <t xml:space="preserve">Nastro trasportatore Stival </t>
  </si>
  <si>
    <t>Pompa francesca Mod. F20</t>
  </si>
  <si>
    <t xml:space="preserve">Microdue </t>
  </si>
  <si>
    <t>Generatore D'Azoto</t>
  </si>
  <si>
    <t>Polmone Azzurro</t>
  </si>
  <si>
    <t>Pigiadiraspatrice Vega 500</t>
  </si>
  <si>
    <t>Centrifuga Autom. Reda RE70V/PO</t>
  </si>
  <si>
    <t>Compressore Alup Sck 61/10</t>
  </si>
  <si>
    <t>Pressa Vaccum System Mod.VS250</t>
  </si>
  <si>
    <t>Linea Acqua Aria Compressa</t>
  </si>
  <si>
    <t>Elettropompa Inox Ep Senior</t>
  </si>
  <si>
    <t>Pompa G90 Trif. HP 2.5</t>
  </si>
  <si>
    <t>Filtro farina Fossile Enodry</t>
  </si>
  <si>
    <t>Pompa I1010 Inox Rid. Glifo</t>
  </si>
  <si>
    <t xml:space="preserve">Pressa Sigma 34 </t>
  </si>
  <si>
    <t>Impianto Termocondizionamento</t>
  </si>
  <si>
    <t>Filtro Enores Mod. W48</t>
  </si>
  <si>
    <t xml:space="preserve">Filtro Tang. Compact Ddwine </t>
  </si>
  <si>
    <t xml:space="preserve">Pompa G90 Monofase </t>
  </si>
  <si>
    <t>Lavori collegamento vinificatori</t>
  </si>
  <si>
    <t>Rewosclean R2 G&amp;B Italiana</t>
  </si>
  <si>
    <t>Svinatore Siprem</t>
  </si>
  <si>
    <t>Elevatore a Tazze</t>
  </si>
  <si>
    <t>Lavori allacciamento Presse</t>
  </si>
  <si>
    <t>Presse Diemme Millennium 260</t>
  </si>
  <si>
    <t>Pressa Diemme Millennium 320</t>
  </si>
  <si>
    <t>Silos con accessori</t>
  </si>
  <si>
    <t>Serbatoio con Rubinetti</t>
  </si>
  <si>
    <t>Serbatoio Acciaio con Accessori</t>
  </si>
  <si>
    <t>Frigorifero Cucina</t>
  </si>
  <si>
    <t>Rivest. Imp. Frigorifero</t>
  </si>
  <si>
    <t>Serb. Semprepieni e Accessori</t>
  </si>
  <si>
    <t>Elettrocompressore 100 lt</t>
  </si>
  <si>
    <t>Autoclave Acqua</t>
  </si>
  <si>
    <t>Pulipomp+Idropres. Mod. B3XR/A</t>
  </si>
  <si>
    <t>Transpallet Kg2000 Carrello</t>
  </si>
  <si>
    <t>Elettropompa Mondino 8xM Hydro</t>
  </si>
  <si>
    <t>Serbatoio Acciaio con Runietti</t>
  </si>
  <si>
    <t xml:space="preserve">Distil. Mod. Dist.-Star </t>
  </si>
  <si>
    <t>Sonda preleva campioni per Uva</t>
  </si>
  <si>
    <t>Pulipomxspiraljet Hp12,5+Idro</t>
  </si>
  <si>
    <t>Serbatoio Acciaio Inox</t>
  </si>
  <si>
    <t>15 Boccaporti</t>
  </si>
  <si>
    <t>Solfitometro 5 Kg Ever</t>
  </si>
  <si>
    <t>Tubazioni Inox Pigiatr. Presse</t>
  </si>
  <si>
    <t>146 valvole vasche rizzato</t>
  </si>
  <si>
    <t>8 Valvole Inox Garolla</t>
  </si>
  <si>
    <t>5 Strutture x Barriques 225</t>
  </si>
  <si>
    <t>Serbatoio Inox Lt. 5000</t>
  </si>
  <si>
    <t>Serbatoio Inox Lt. 3200</t>
  </si>
  <si>
    <t xml:space="preserve">Termoventilatore Stufetta </t>
  </si>
  <si>
    <t>Lavadamigiane Acciaio Inox</t>
  </si>
  <si>
    <t>2 Cobra3 (insetticida)</t>
  </si>
  <si>
    <t>Illume' Nero (insetticida)</t>
  </si>
  <si>
    <t>Lavabarrique Inox</t>
  </si>
  <si>
    <t>Riempibarrique Inox</t>
  </si>
  <si>
    <t>Barile Rovere Lt. 550</t>
  </si>
  <si>
    <t>Supporti per Barile in Rovere</t>
  </si>
  <si>
    <t>Armadio Metallico cm.120x90</t>
  </si>
  <si>
    <t>Armadio Metallico cm.160x200</t>
  </si>
  <si>
    <t>Serbatoio Cil. Vert. Su gambe</t>
  </si>
  <si>
    <t>Passerella Servizio Serbatoi</t>
  </si>
  <si>
    <t>Serbatoio Inox lt. 3200</t>
  </si>
  <si>
    <t>Botte Inox Stoccaggio Lt.3200</t>
  </si>
  <si>
    <t>14 Portelli e valvole per serbatoio</t>
  </si>
  <si>
    <t>Motore Trif. Kw 1,1 4P B3</t>
  </si>
  <si>
    <t>Scale palchetto 553 gr. 11</t>
  </si>
  <si>
    <t>Calcolatrice Logos 582</t>
  </si>
  <si>
    <t>Vibratore Trif. MVE300/3</t>
  </si>
  <si>
    <t>4 Barriere rosse new jersey</t>
  </si>
  <si>
    <t xml:space="preserve">Barile Rovere Francese </t>
  </si>
  <si>
    <t>Struttura metallica per frigo</t>
  </si>
  <si>
    <t>Carrello elevatore Nissan</t>
  </si>
  <si>
    <t>Calcolatrice Logos 694T</t>
  </si>
  <si>
    <t>Idropulitrice Faip Hd190</t>
  </si>
  <si>
    <t>Solfitometro 5 Kg Art Enology</t>
  </si>
  <si>
    <t>Barile Rovere lt. 225</t>
  </si>
  <si>
    <t>Radiocomando per pompe</t>
  </si>
  <si>
    <t>Insegna Luminosa Bifacciale</t>
  </si>
  <si>
    <t>Pompa ragazzini Mod. RD2MXT</t>
  </si>
  <si>
    <t xml:space="preserve">2 Bilance + Terminale </t>
  </si>
  <si>
    <t>Lavori Installazione Pese</t>
  </si>
  <si>
    <t xml:space="preserve">Compressore Balma </t>
  </si>
  <si>
    <t xml:space="preserve">Serbatoio Verticale Aria </t>
  </si>
  <si>
    <t>Aspirapolvere Lidl</t>
  </si>
  <si>
    <t>Telefono Cordless Gigaset</t>
  </si>
  <si>
    <t>Avvitatore Techyway</t>
  </si>
  <si>
    <t>Attrezzatura per scolo Vinaccia</t>
  </si>
  <si>
    <t>Barile in Rovere Lt. 225</t>
  </si>
  <si>
    <t>Aspirapolvere HP</t>
  </si>
  <si>
    <t>N.6 Struttura portabarrique</t>
  </si>
  <si>
    <t>Cisterna Vetroresina Hl. 10</t>
  </si>
  <si>
    <t>Bilancia PS2100/C/2</t>
  </si>
  <si>
    <t>Carrello officina Rosso</t>
  </si>
  <si>
    <t xml:space="preserve">Armadio blindato </t>
  </si>
  <si>
    <t>Pompa sommersa Dab-Granzotto</t>
  </si>
  <si>
    <t>Barile Rovere Allier Lt. 225</t>
  </si>
  <si>
    <t>70 sedie + 3 armadi + 1 cassaforte</t>
  </si>
  <si>
    <t>Macchina da scrivere Olivetti</t>
  </si>
  <si>
    <t>20 sedie di plastica</t>
  </si>
  <si>
    <t>2 armadi, scrivanie, tavolo</t>
  </si>
  <si>
    <t>2 scrivanie</t>
  </si>
  <si>
    <t>Tavolo dattilo</t>
  </si>
  <si>
    <t>Arredo Ufficio direzione e sala</t>
  </si>
  <si>
    <t>Sedie ufficio Kastel</t>
  </si>
  <si>
    <t>Mobili laboratorio Planning</t>
  </si>
  <si>
    <t>Arredamento dettaglio Padoan</t>
  </si>
  <si>
    <t>Frigorifero Rex</t>
  </si>
  <si>
    <t>Armadio per laboratorio</t>
  </si>
  <si>
    <t>Armadio per sicurezza</t>
  </si>
  <si>
    <t>5 sedie ufficio</t>
  </si>
  <si>
    <t>Cassetiera 3 cassetti</t>
  </si>
  <si>
    <t xml:space="preserve">Armadio a parete ufficio </t>
  </si>
  <si>
    <t>Calcolatrice Logos 381</t>
  </si>
  <si>
    <t>Stampante Epson LQ 2170</t>
  </si>
  <si>
    <t>Camera Maf2000w microfilm</t>
  </si>
  <si>
    <t>App. Ebulliometrico Alcolombi</t>
  </si>
  <si>
    <t>Bilancia Sartorius BL 3100</t>
  </si>
  <si>
    <t>Centralino Nextel con scheda</t>
  </si>
  <si>
    <t>2 Telefoni Big Display</t>
  </si>
  <si>
    <t>Spettofotometro</t>
  </si>
  <si>
    <t>Stampante HP Deskjet 5652</t>
  </si>
  <si>
    <t>2 PC Desk Hp con accessori</t>
  </si>
  <si>
    <t xml:space="preserve">Stampante HP LJ 1320N </t>
  </si>
  <si>
    <t>Turbidimetro per Vino Hanna</t>
  </si>
  <si>
    <t xml:space="preserve">PC Si computer R200 </t>
  </si>
  <si>
    <t>Video Hannas'g</t>
  </si>
  <si>
    <t xml:space="preserve">Firewall Calvister </t>
  </si>
  <si>
    <t>Plastificiatore Lidl</t>
  </si>
  <si>
    <t>Gruppo continuità</t>
  </si>
  <si>
    <t>Monitor Lcd 19" Samsung</t>
  </si>
  <si>
    <t xml:space="preserve">Monitor Asus </t>
  </si>
  <si>
    <t>Post scriptn srl</t>
  </si>
  <si>
    <t>Diraspatrice Amos più Pompa (nr.2)</t>
  </si>
  <si>
    <t>Pressa Willmes Completa TP140 (nr.3)</t>
  </si>
  <si>
    <t>Vasca ricevimento uva (nr. 4)</t>
  </si>
  <si>
    <t>Nastro trasportatore Bared (nr.3)</t>
  </si>
  <si>
    <t>Vinificatore Gimar (nr. 2)</t>
  </si>
  <si>
    <t>Nastro trasportatore (nr. 2)</t>
  </si>
  <si>
    <t>Nastro trasportatore Stival (nr. 2)</t>
  </si>
  <si>
    <t>30.06.2018</t>
  </si>
  <si>
    <t xml:space="preserve">Impianto di videosorveglianza </t>
  </si>
  <si>
    <t>Tende a rullo Teporlux</t>
  </si>
  <si>
    <t xml:space="preserve"> </t>
  </si>
  <si>
    <t>Diraspatrice più pompa Longoenoproject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</si>
</sst>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41" fontId="3" fillId="0" borderId="4" xfId="2" applyFont="1" applyBorder="1"/>
    <xf numFmtId="41" fontId="2" fillId="0" borderId="0" xfId="2" applyFont="1"/>
    <xf numFmtId="41" fontId="3" fillId="0" borderId="3" xfId="2" applyFont="1" applyBorder="1" applyAlignment="1">
      <alignment horizontal="center"/>
    </xf>
    <xf numFmtId="41" fontId="3" fillId="0" borderId="3" xfId="2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" fontId="5" fillId="0" borderId="2" xfId="2" applyNumberFormat="1" applyFont="1" applyBorder="1"/>
    <xf numFmtId="4" fontId="5" fillId="0" borderId="1" xfId="2" applyNumberFormat="1" applyFont="1" applyBorder="1"/>
    <xf numFmtId="4" fontId="5" fillId="0" borderId="7" xfId="2" applyNumberFormat="1" applyFont="1" applyBorder="1"/>
    <xf numFmtId="4" fontId="9" fillId="0" borderId="2" xfId="2" applyNumberFormat="1" applyFont="1" applyBorder="1"/>
    <xf numFmtId="4" fontId="9" fillId="0" borderId="1" xfId="2" applyNumberFormat="1" applyFont="1" applyBorder="1"/>
    <xf numFmtId="4" fontId="9" fillId="0" borderId="7" xfId="2" applyNumberFormat="1" applyFont="1" applyBorder="1"/>
    <xf numFmtId="4" fontId="5" fillId="0" borderId="8" xfId="2" applyNumberFormat="1" applyFont="1" applyBorder="1"/>
    <xf numFmtId="4" fontId="5" fillId="0" borderId="6" xfId="2" applyNumberFormat="1" applyFont="1" applyBorder="1"/>
    <xf numFmtId="1" fontId="3" fillId="0" borderId="1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/>
    <xf numFmtId="46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2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4" fontId="5" fillId="0" borderId="1" xfId="2" applyNumberFormat="1" applyFont="1" applyBorder="1" applyAlignment="1"/>
    <xf numFmtId="4" fontId="5" fillId="0" borderId="7" xfId="2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0" fontId="5" fillId="0" borderId="5" xfId="0" applyFont="1" applyBorder="1" applyAlignment="1"/>
    <xf numFmtId="0" fontId="7" fillId="0" borderId="0" xfId="0" applyFont="1" applyBorder="1" applyAlignment="1">
      <alignment horizontal="center" vertical="justify"/>
    </xf>
    <xf numFmtId="41" fontId="7" fillId="0" borderId="10" xfId="2" applyFont="1" applyBorder="1" applyAlignment="1">
      <alignment horizontal="center" vertical="center"/>
    </xf>
    <xf numFmtId="41" fontId="7" fillId="0" borderId="0" xfId="2" applyFont="1" applyBorder="1" applyAlignment="1">
      <alignment horizontal="center" vertical="justify"/>
    </xf>
    <xf numFmtId="1" fontId="7" fillId="0" borderId="0" xfId="0" applyNumberFormat="1" applyFont="1" applyBorder="1" applyAlignment="1">
      <alignment horizontal="center" vertical="center"/>
    </xf>
    <xf numFmtId="41" fontId="7" fillId="0" borderId="10" xfId="2" applyFont="1" applyBorder="1" applyAlignment="1">
      <alignment horizontal="center" vertical="justify"/>
    </xf>
    <xf numFmtId="41" fontId="7" fillId="0" borderId="0" xfId="2" applyFont="1" applyBorder="1" applyAlignment="1">
      <alignment horizontal="center" vertical="center"/>
    </xf>
    <xf numFmtId="41" fontId="7" fillId="0" borderId="6" xfId="2" applyFont="1" applyBorder="1" applyAlignment="1">
      <alignment horizontal="center" vertical="justify"/>
    </xf>
    <xf numFmtId="14" fontId="5" fillId="0" borderId="5" xfId="0" applyNumberFormat="1" applyFont="1" applyBorder="1" applyAlignment="1">
      <alignment horizontal="center"/>
    </xf>
    <xf numFmtId="4" fontId="5" fillId="0" borderId="10" xfId="0" applyNumberFormat="1" applyFont="1" applyBorder="1"/>
    <xf numFmtId="4" fontId="5" fillId="0" borderId="2" xfId="0" applyNumberFormat="1" applyFont="1" applyBorder="1"/>
    <xf numFmtId="4" fontId="9" fillId="0" borderId="2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justify"/>
      <protection locked="0"/>
    </xf>
    <xf numFmtId="41" fontId="7" fillId="0" borderId="12" xfId="2" applyFont="1" applyBorder="1" applyAlignment="1" applyProtection="1">
      <alignment horizontal="center" vertical="center"/>
      <protection locked="0"/>
    </xf>
    <xf numFmtId="41" fontId="7" fillId="0" borderId="15" xfId="2" applyFont="1" applyBorder="1" applyAlignment="1" applyProtection="1">
      <alignment horizontal="center" vertical="justify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41" fontId="7" fillId="0" borderId="12" xfId="2" applyFont="1" applyBorder="1" applyAlignment="1" applyProtection="1">
      <alignment horizontal="center" vertical="justify"/>
      <protection locked="0"/>
    </xf>
    <xf numFmtId="41" fontId="7" fillId="0" borderId="14" xfId="2" applyFont="1" applyBorder="1" applyAlignment="1" applyProtection="1">
      <alignment horizontal="center" vertical="center"/>
      <protection locked="0"/>
    </xf>
    <xf numFmtId="41" fontId="7" fillId="0" borderId="14" xfId="2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justify"/>
      <protection locked="0"/>
    </xf>
    <xf numFmtId="41" fontId="7" fillId="0" borderId="17" xfId="2" applyFont="1" applyBorder="1" applyAlignment="1" applyProtection="1">
      <alignment horizontal="center" vertical="center"/>
      <protection locked="0"/>
    </xf>
    <xf numFmtId="41" fontId="7" fillId="0" borderId="0" xfId="2" applyFont="1" applyBorder="1" applyAlignment="1" applyProtection="1">
      <alignment horizontal="center" vertical="justify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17" xfId="2" applyFont="1" applyBorder="1" applyAlignment="1" applyProtection="1">
      <alignment horizontal="center" vertical="justify"/>
      <protection locked="0"/>
    </xf>
    <xf numFmtId="41" fontId="7" fillId="0" borderId="0" xfId="2" applyFont="1" applyBorder="1" applyAlignment="1" applyProtection="1">
      <alignment horizontal="center" vertical="center"/>
      <protection locked="0"/>
    </xf>
    <xf numFmtId="41" fontId="7" fillId="0" borderId="18" xfId="2" applyFont="1" applyBorder="1" applyAlignment="1" applyProtection="1">
      <alignment horizontal="center" vertical="justify"/>
      <protection locked="0"/>
    </xf>
    <xf numFmtId="9" fontId="5" fillId="0" borderId="2" xfId="0" applyNumberFormat="1" applyFont="1" applyBorder="1" applyAlignment="1">
      <alignment horizontal="center"/>
    </xf>
    <xf numFmtId="43" fontId="6" fillId="0" borderId="0" xfId="1" applyFont="1"/>
    <xf numFmtId="4" fontId="6" fillId="0" borderId="0" xfId="0" applyNumberFormat="1" applyFont="1"/>
    <xf numFmtId="4" fontId="10" fillId="0" borderId="0" xfId="0" applyNumberFormat="1" applyFont="1"/>
    <xf numFmtId="14" fontId="9" fillId="0" borderId="5" xfId="0" applyNumberFormat="1" applyFont="1" applyBorder="1" applyAlignment="1">
      <alignment horizontal="center"/>
    </xf>
    <xf numFmtId="0" fontId="11" fillId="0" borderId="6" xfId="0" applyNumberFormat="1" applyFont="1" applyBorder="1"/>
    <xf numFmtId="9" fontId="9" fillId="0" borderId="2" xfId="0" applyNumberFormat="1" applyFont="1" applyBorder="1" applyAlignment="1">
      <alignment horizontal="center"/>
    </xf>
    <xf numFmtId="43" fontId="10" fillId="0" borderId="0" xfId="1" applyFont="1"/>
    <xf numFmtId="0" fontId="9" fillId="0" borderId="2" xfId="0" applyFont="1" applyBorder="1" applyAlignment="1">
      <alignment horizontal="left"/>
    </xf>
    <xf numFmtId="4" fontId="9" fillId="0" borderId="6" xfId="2" applyNumberFormat="1" applyFont="1" applyBorder="1"/>
    <xf numFmtId="0" fontId="12" fillId="0" borderId="2" xfId="0" applyNumberFormat="1" applyFont="1" applyBorder="1"/>
    <xf numFmtId="0" fontId="12" fillId="0" borderId="0" xfId="0" applyFont="1"/>
    <xf numFmtId="0" fontId="5" fillId="0" borderId="8" xfId="0" applyFont="1" applyBorder="1" applyAlignment="1">
      <alignment horizontal="center"/>
    </xf>
    <xf numFmtId="9" fontId="5" fillId="0" borderId="6" xfId="3" applyFont="1" applyBorder="1" applyAlignment="1">
      <alignment horizontal="center"/>
    </xf>
    <xf numFmtId="4" fontId="5" fillId="0" borderId="19" xfId="2" applyNumberFormat="1" applyFont="1" applyBorder="1"/>
    <xf numFmtId="9" fontId="9" fillId="0" borderId="6" xfId="3" applyFont="1" applyBorder="1" applyAlignment="1">
      <alignment horizontal="center"/>
    </xf>
    <xf numFmtId="9" fontId="5" fillId="0" borderId="2" xfId="3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1" fontId="7" fillId="0" borderId="10" xfId="2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9" fontId="5" fillId="0" borderId="2" xfId="3" applyFont="1" applyFill="1" applyBorder="1" applyAlignment="1">
      <alignment horizontal="center"/>
    </xf>
    <xf numFmtId="4" fontId="5" fillId="0" borderId="2" xfId="2" applyNumberFormat="1" applyFont="1" applyFill="1" applyBorder="1"/>
    <xf numFmtId="0" fontId="6" fillId="0" borderId="0" xfId="0" applyFont="1" applyFill="1"/>
    <xf numFmtId="43" fontId="6" fillId="0" borderId="0" xfId="1" applyFont="1" applyFill="1"/>
    <xf numFmtId="4" fontId="6" fillId="0" borderId="0" xfId="0" applyNumberFormat="1" applyFont="1" applyFill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9" fontId="13" fillId="0" borderId="2" xfId="3" applyFont="1" applyBorder="1" applyAlignment="1">
      <alignment horizontal="center"/>
    </xf>
    <xf numFmtId="4" fontId="13" fillId="0" borderId="2" xfId="2" applyNumberFormat="1" applyFont="1" applyFill="1" applyBorder="1"/>
    <xf numFmtId="4" fontId="13" fillId="0" borderId="2" xfId="2" applyNumberFormat="1" applyFont="1" applyBorder="1"/>
    <xf numFmtId="0" fontId="14" fillId="0" borderId="0" xfId="0" applyFont="1"/>
    <xf numFmtId="43" fontId="14" fillId="0" borderId="0" xfId="1" applyFont="1"/>
    <xf numFmtId="4" fontId="14" fillId="0" borderId="0" xfId="0" applyNumberFormat="1" applyFont="1"/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tabSelected="1" zoomScale="125" zoomScaleNormal="125" workbookViewId="0">
      <pane ySplit="2" topLeftCell="A78" activePane="bottomLeft" state="frozen"/>
      <selection pane="bottomLeft" activeCell="F94" sqref="F94"/>
    </sheetView>
  </sheetViews>
  <sheetFormatPr defaultRowHeight="13.2" x14ac:dyDescent="0.25"/>
  <cols>
    <col min="1" max="1" width="7.88671875" style="16" bestFit="1" customWidth="1"/>
    <col min="2" max="2" width="34.88671875" style="1" customWidth="1"/>
    <col min="3" max="3" width="11.77734375" style="1" customWidth="1"/>
    <col min="4" max="4" width="11.44140625" style="9" customWidth="1"/>
    <col min="5" max="5" width="11.88671875" style="9" customWidth="1"/>
    <col min="6" max="6" width="5.33203125" style="32" bestFit="1" customWidth="1"/>
    <col min="7" max="7" width="10.88671875" style="9" customWidth="1"/>
    <col min="8" max="8" width="10.44140625" style="9" customWidth="1"/>
    <col min="9" max="9" width="11.6640625" style="9" customWidth="1"/>
    <col min="10" max="10" width="11.44140625" style="9" customWidth="1"/>
    <col min="11" max="11" width="11.6640625" style="9" customWidth="1"/>
    <col min="12" max="12" width="9.109375" style="89" hidden="1" customWidth="1"/>
    <col min="13" max="13" width="10.109375" style="89" bestFit="1" customWidth="1"/>
    <col min="14" max="14" width="9.109375" style="89" bestFit="1" customWidth="1"/>
    <col min="15" max="16" width="10.109375" style="89" bestFit="1" customWidth="1"/>
    <col min="17" max="16384" width="8.88671875" style="89"/>
  </cols>
  <sheetData>
    <row r="1" spans="1:11" s="2" customFormat="1" ht="12" customHeight="1" x14ac:dyDescent="0.2">
      <c r="A1" s="58"/>
      <c r="B1" s="59"/>
      <c r="C1" s="6"/>
      <c r="D1" s="10" t="s">
        <v>11</v>
      </c>
      <c r="E1" s="8"/>
      <c r="F1" s="29"/>
      <c r="G1" s="11"/>
      <c r="H1" s="11"/>
      <c r="I1" s="10" t="s">
        <v>12</v>
      </c>
      <c r="J1" s="11"/>
      <c r="K1" s="8"/>
    </row>
    <row r="2" spans="1:11" s="68" customFormat="1" ht="16.8" x14ac:dyDescent="0.25">
      <c r="A2" s="60" t="s">
        <v>0</v>
      </c>
      <c r="B2" s="60" t="s">
        <v>1</v>
      </c>
      <c r="C2" s="61" t="s">
        <v>2</v>
      </c>
      <c r="D2" s="62" t="s">
        <v>3</v>
      </c>
      <c r="E2" s="63" t="s">
        <v>4</v>
      </c>
      <c r="F2" s="64" t="s">
        <v>5</v>
      </c>
      <c r="G2" s="65" t="s">
        <v>6</v>
      </c>
      <c r="H2" s="66" t="s">
        <v>7</v>
      </c>
      <c r="I2" s="65" t="s">
        <v>8</v>
      </c>
      <c r="J2" s="67" t="s">
        <v>9</v>
      </c>
      <c r="K2" s="65" t="s">
        <v>10</v>
      </c>
    </row>
    <row r="3" spans="1:11" s="68" customFormat="1" ht="3" hidden="1" customHeight="1" x14ac:dyDescent="0.25">
      <c r="A3" s="69"/>
      <c r="B3" s="70"/>
      <c r="C3" s="71"/>
      <c r="D3" s="72"/>
      <c r="E3" s="73"/>
      <c r="F3" s="74"/>
      <c r="G3" s="75"/>
      <c r="H3" s="76"/>
      <c r="I3" s="77"/>
      <c r="J3" s="73"/>
      <c r="K3" s="75"/>
    </row>
    <row r="4" spans="1:11" s="68" customFormat="1" ht="3" hidden="1" customHeight="1" x14ac:dyDescent="0.25">
      <c r="A4" s="69"/>
      <c r="B4" s="70"/>
      <c r="C4" s="71"/>
      <c r="D4" s="96"/>
      <c r="E4" s="73"/>
      <c r="F4" s="74"/>
      <c r="G4" s="75"/>
      <c r="H4" s="76"/>
      <c r="I4" s="77"/>
      <c r="J4" s="73"/>
      <c r="K4" s="75"/>
    </row>
    <row r="5" spans="1:11" s="42" customFormat="1" ht="12" x14ac:dyDescent="0.25">
      <c r="A5" s="54"/>
      <c r="B5" s="86" t="s">
        <v>16</v>
      </c>
      <c r="C5" s="4"/>
      <c r="D5" s="38"/>
      <c r="E5" s="39"/>
      <c r="F5" s="30"/>
      <c r="G5" s="38"/>
      <c r="H5" s="38"/>
      <c r="I5" s="38"/>
      <c r="J5" s="38"/>
      <c r="K5" s="38"/>
    </row>
    <row r="6" spans="1:11" s="42" customFormat="1" ht="12" x14ac:dyDescent="0.25">
      <c r="A6" s="54" t="s">
        <v>230</v>
      </c>
      <c r="B6" s="35" t="s">
        <v>59</v>
      </c>
      <c r="C6" s="4"/>
      <c r="D6" s="38"/>
      <c r="E6" s="39">
        <v>446720</v>
      </c>
      <c r="F6" s="30"/>
      <c r="G6" s="43"/>
      <c r="H6" s="38"/>
      <c r="I6" s="38"/>
      <c r="J6" s="38">
        <f>E6</f>
        <v>446720</v>
      </c>
      <c r="K6" s="38">
        <v>0</v>
      </c>
    </row>
    <row r="7" spans="1:11" s="42" customFormat="1" ht="12" x14ac:dyDescent="0.25">
      <c r="A7" s="54" t="s">
        <v>230</v>
      </c>
      <c r="B7" s="35" t="s">
        <v>60</v>
      </c>
      <c r="C7" s="4"/>
      <c r="D7" s="38"/>
      <c r="E7" s="39">
        <v>6500</v>
      </c>
      <c r="F7" s="30"/>
      <c r="G7" s="43"/>
      <c r="H7" s="38"/>
      <c r="I7" s="38"/>
      <c r="J7" s="38">
        <f>E7</f>
        <v>6500</v>
      </c>
      <c r="K7" s="38">
        <v>0</v>
      </c>
    </row>
    <row r="8" spans="1:11" s="42" customFormat="1" ht="12" x14ac:dyDescent="0.25">
      <c r="A8" s="54" t="s">
        <v>230</v>
      </c>
      <c r="B8" s="35" t="s">
        <v>61</v>
      </c>
      <c r="C8" s="4"/>
      <c r="D8" s="38"/>
      <c r="E8" s="39">
        <v>679536</v>
      </c>
      <c r="F8" s="30"/>
      <c r="G8" s="43"/>
      <c r="H8" s="38"/>
      <c r="I8" s="38"/>
      <c r="J8" s="38">
        <f>E8</f>
        <v>679536</v>
      </c>
      <c r="K8" s="38">
        <v>0</v>
      </c>
    </row>
    <row r="9" spans="1:11" s="42" customFormat="1" ht="12" x14ac:dyDescent="0.25">
      <c r="A9" s="54" t="s">
        <v>230</v>
      </c>
      <c r="B9" s="35" t="s">
        <v>62</v>
      </c>
      <c r="C9" s="4"/>
      <c r="D9" s="38"/>
      <c r="E9" s="39">
        <v>535</v>
      </c>
      <c r="F9" s="30"/>
      <c r="G9" s="43"/>
      <c r="H9" s="38"/>
      <c r="I9" s="38"/>
      <c r="J9" s="38">
        <f>E9</f>
        <v>535</v>
      </c>
      <c r="K9" s="38">
        <v>0</v>
      </c>
    </row>
    <row r="10" spans="1:11" s="14" customFormat="1" ht="12" x14ac:dyDescent="0.25">
      <c r="A10" s="18"/>
      <c r="B10" s="95" t="s">
        <v>63</v>
      </c>
      <c r="C10" s="18"/>
      <c r="D10" s="12"/>
      <c r="E10" s="97">
        <f>SUM(E6:E9)</f>
        <v>1133291</v>
      </c>
      <c r="F10" s="95"/>
      <c r="G10" s="98"/>
      <c r="H10" s="95"/>
      <c r="I10" s="97"/>
      <c r="J10" s="99">
        <f>SUM(J6:J9)</f>
        <v>1133291</v>
      </c>
      <c r="K10" s="99">
        <v>0</v>
      </c>
    </row>
    <row r="11" spans="1:11" s="33" customFormat="1" ht="12" x14ac:dyDescent="0.25">
      <c r="A11" s="17"/>
      <c r="B11" s="5"/>
      <c r="C11" s="17"/>
      <c r="D11" s="5"/>
      <c r="E11" s="17"/>
      <c r="F11" s="5"/>
      <c r="G11" s="17"/>
      <c r="H11" s="5"/>
      <c r="I11" s="17"/>
      <c r="J11" s="38"/>
      <c r="K11" s="38"/>
    </row>
    <row r="12" spans="1:11" s="3" customFormat="1" ht="12" x14ac:dyDescent="0.25">
      <c r="A12" s="17"/>
      <c r="B12" s="12" t="s">
        <v>13</v>
      </c>
      <c r="C12" s="17"/>
      <c r="D12" s="5"/>
      <c r="E12" s="17"/>
      <c r="F12" s="5"/>
      <c r="G12" s="17"/>
      <c r="H12" s="5"/>
      <c r="I12" s="17"/>
      <c r="J12" s="38"/>
      <c r="K12" s="38"/>
    </row>
    <row r="13" spans="1:11" s="3" customFormat="1" ht="12" x14ac:dyDescent="0.25">
      <c r="A13" s="54" t="s">
        <v>230</v>
      </c>
      <c r="B13" s="20" t="s">
        <v>21</v>
      </c>
      <c r="C13" s="90"/>
      <c r="D13" s="7"/>
      <c r="E13" s="92">
        <v>1761598.85</v>
      </c>
      <c r="F13" s="91">
        <v>0.03</v>
      </c>
      <c r="G13" s="28">
        <f>E13*F13</f>
        <v>52847.965499999998</v>
      </c>
      <c r="H13" s="28"/>
      <c r="I13" s="27">
        <f>369935.72+G13+G13</f>
        <v>475631.65099999995</v>
      </c>
      <c r="J13" s="28"/>
      <c r="K13" s="28">
        <f>E13-I13</f>
        <v>1285967.199</v>
      </c>
    </row>
    <row r="14" spans="1:11" s="3" customFormat="1" ht="12" x14ac:dyDescent="0.25">
      <c r="A14" s="54" t="s">
        <v>230</v>
      </c>
      <c r="B14" s="5" t="s">
        <v>17</v>
      </c>
      <c r="C14" s="4"/>
      <c r="D14" s="7"/>
      <c r="E14" s="23">
        <v>2500</v>
      </c>
      <c r="F14" s="91">
        <v>0.03</v>
      </c>
      <c r="G14" s="28">
        <f t="shared" ref="G14:G17" si="0">E14*F14</f>
        <v>75</v>
      </c>
      <c r="H14" s="21"/>
      <c r="I14" s="22">
        <f>525+G14+G14</f>
        <v>675</v>
      </c>
      <c r="J14" s="21"/>
      <c r="K14" s="28">
        <f t="shared" ref="K14:K17" si="1">E14-I14</f>
        <v>1825</v>
      </c>
    </row>
    <row r="15" spans="1:11" s="3" customFormat="1" ht="12" x14ac:dyDescent="0.25">
      <c r="A15" s="54" t="s">
        <v>230</v>
      </c>
      <c r="B15" s="5" t="s">
        <v>18</v>
      </c>
      <c r="C15" s="4"/>
      <c r="D15" s="7"/>
      <c r="E15" s="23">
        <v>20000</v>
      </c>
      <c r="F15" s="91">
        <v>0.03</v>
      </c>
      <c r="G15" s="28">
        <f t="shared" si="0"/>
        <v>600</v>
      </c>
      <c r="H15" s="21"/>
      <c r="I15" s="21">
        <f>4200+G15+G15</f>
        <v>5400</v>
      </c>
      <c r="J15" s="55"/>
      <c r="K15" s="28">
        <f t="shared" si="1"/>
        <v>14600</v>
      </c>
    </row>
    <row r="16" spans="1:11" s="3" customFormat="1" ht="12" x14ac:dyDescent="0.25">
      <c r="A16" s="54" t="s">
        <v>230</v>
      </c>
      <c r="B16" s="5" t="s">
        <v>19</v>
      </c>
      <c r="C16" s="4"/>
      <c r="D16" s="7"/>
      <c r="E16" s="23">
        <v>21000</v>
      </c>
      <c r="F16" s="91">
        <v>0.03</v>
      </c>
      <c r="G16" s="28">
        <f t="shared" si="0"/>
        <v>630</v>
      </c>
      <c r="H16" s="21"/>
      <c r="I16" s="21">
        <f>4410+G16+G16</f>
        <v>5670</v>
      </c>
      <c r="J16" s="21"/>
      <c r="K16" s="28">
        <f t="shared" si="1"/>
        <v>15330</v>
      </c>
    </row>
    <row r="17" spans="1:13" s="3" customFormat="1" ht="12" x14ac:dyDescent="0.25">
      <c r="A17" s="54" t="s">
        <v>230</v>
      </c>
      <c r="B17" s="5" t="s">
        <v>20</v>
      </c>
      <c r="C17" s="4"/>
      <c r="D17" s="7"/>
      <c r="E17" s="23">
        <v>51781.15</v>
      </c>
      <c r="F17" s="91">
        <v>0.03</v>
      </c>
      <c r="G17" s="28">
        <f t="shared" si="0"/>
        <v>1553.4345000000001</v>
      </c>
      <c r="H17" s="21"/>
      <c r="I17" s="21">
        <f>10874.01+G17+G17</f>
        <v>13980.878999999999</v>
      </c>
      <c r="J17" s="21"/>
      <c r="K17" s="28">
        <f t="shared" si="1"/>
        <v>37800.271000000001</v>
      </c>
    </row>
    <row r="18" spans="1:13" s="14" customFormat="1" ht="12" x14ac:dyDescent="0.25">
      <c r="A18" s="18"/>
      <c r="B18" s="95" t="s">
        <v>28</v>
      </c>
      <c r="C18" s="13"/>
      <c r="D18" s="15"/>
      <c r="E18" s="26">
        <f>SUM(E13:E17)</f>
        <v>1856880</v>
      </c>
      <c r="F18" s="93"/>
      <c r="G18" s="87">
        <f>SUM(G13:G17)</f>
        <v>55706.400000000001</v>
      </c>
      <c r="H18" s="24"/>
      <c r="I18" s="24">
        <f>SUM(I13:I17)</f>
        <v>501357.52999999997</v>
      </c>
      <c r="J18" s="55"/>
      <c r="K18" s="87">
        <f>SUM(K13:K17)</f>
        <v>1355522.47</v>
      </c>
      <c r="M18" s="81"/>
    </row>
    <row r="19" spans="1:13" s="14" customFormat="1" ht="12" x14ac:dyDescent="0.25">
      <c r="A19" s="18"/>
      <c r="B19" s="12"/>
      <c r="C19" s="13"/>
      <c r="D19" s="15"/>
      <c r="E19" s="25"/>
      <c r="F19" s="93"/>
      <c r="G19" s="87"/>
      <c r="H19" s="24"/>
      <c r="I19" s="24"/>
      <c r="J19" s="21"/>
      <c r="K19" s="87"/>
    </row>
    <row r="20" spans="1:13" s="3" customFormat="1" x14ac:dyDescent="0.25">
      <c r="A20" s="17"/>
      <c r="B20" s="12" t="s">
        <v>14</v>
      </c>
      <c r="C20" s="4"/>
      <c r="D20" s="7"/>
      <c r="E20" s="22"/>
      <c r="F20" s="30"/>
      <c r="G20" s="21"/>
      <c r="H20" s="21"/>
      <c r="I20" s="21"/>
      <c r="J20" s="21"/>
      <c r="K20" s="88"/>
    </row>
    <row r="21" spans="1:13" s="3" customFormat="1" ht="12" x14ac:dyDescent="0.25">
      <c r="A21" s="54" t="s">
        <v>230</v>
      </c>
      <c r="B21" s="5" t="s">
        <v>22</v>
      </c>
      <c r="C21" s="4"/>
      <c r="D21" s="19"/>
      <c r="E21" s="22">
        <v>6455.71</v>
      </c>
      <c r="F21" s="94">
        <v>0.03</v>
      </c>
      <c r="G21" s="21"/>
      <c r="H21" s="21"/>
      <c r="I21" s="21">
        <v>6455.71</v>
      </c>
      <c r="J21" s="55"/>
      <c r="K21" s="21">
        <f>E21-I21</f>
        <v>0</v>
      </c>
    </row>
    <row r="22" spans="1:13" s="3" customFormat="1" ht="12" x14ac:dyDescent="0.25">
      <c r="A22" s="54" t="s">
        <v>230</v>
      </c>
      <c r="B22" s="5" t="s">
        <v>23</v>
      </c>
      <c r="C22" s="4"/>
      <c r="D22" s="7"/>
      <c r="E22" s="22">
        <v>155661.92000000001</v>
      </c>
      <c r="F22" s="94">
        <v>0.03</v>
      </c>
      <c r="G22" s="21"/>
      <c r="H22" s="21"/>
      <c r="I22" s="21">
        <v>155661.92000000001</v>
      </c>
      <c r="J22" s="21"/>
      <c r="K22" s="21">
        <f t="shared" ref="K22:K25" si="2">E22-I22</f>
        <v>0</v>
      </c>
    </row>
    <row r="23" spans="1:13" s="3" customFormat="1" ht="12" x14ac:dyDescent="0.25">
      <c r="A23" s="54" t="s">
        <v>230</v>
      </c>
      <c r="B23" s="5" t="s">
        <v>25</v>
      </c>
      <c r="C23" s="4"/>
      <c r="D23" s="21"/>
      <c r="E23" s="22">
        <v>4200</v>
      </c>
      <c r="F23" s="94">
        <v>0.03</v>
      </c>
      <c r="G23" s="21"/>
      <c r="H23" s="21"/>
      <c r="I23" s="21">
        <v>4200</v>
      </c>
      <c r="J23" s="56"/>
      <c r="K23" s="21">
        <f t="shared" si="2"/>
        <v>0</v>
      </c>
    </row>
    <row r="24" spans="1:13" s="3" customFormat="1" ht="12" x14ac:dyDescent="0.25">
      <c r="A24" s="54" t="s">
        <v>230</v>
      </c>
      <c r="B24" s="5" t="s">
        <v>26</v>
      </c>
      <c r="C24" s="4"/>
      <c r="D24" s="21"/>
      <c r="E24" s="22">
        <v>17400</v>
      </c>
      <c r="F24" s="94">
        <v>0.03</v>
      </c>
      <c r="G24" s="21"/>
      <c r="H24" s="21"/>
      <c r="I24" s="21">
        <v>17400</v>
      </c>
      <c r="J24" s="56"/>
      <c r="K24" s="21">
        <f t="shared" si="2"/>
        <v>0</v>
      </c>
    </row>
    <row r="25" spans="1:13" s="3" customFormat="1" ht="12" x14ac:dyDescent="0.25">
      <c r="A25" s="54" t="s">
        <v>230</v>
      </c>
      <c r="B25" s="5" t="s">
        <v>27</v>
      </c>
      <c r="C25" s="4"/>
      <c r="D25" s="21"/>
      <c r="E25" s="22">
        <v>4085.14</v>
      </c>
      <c r="F25" s="94">
        <v>0.03</v>
      </c>
      <c r="G25" s="21">
        <f>E25*F25</f>
        <v>122.55419999999999</v>
      </c>
      <c r="H25" s="21"/>
      <c r="I25" s="21">
        <v>2451.04</v>
      </c>
      <c r="J25" s="55"/>
      <c r="K25" s="21">
        <f t="shared" si="2"/>
        <v>1634.1</v>
      </c>
    </row>
    <row r="26" spans="1:13" s="3" customFormat="1" ht="12" x14ac:dyDescent="0.25">
      <c r="A26" s="54" t="s">
        <v>230</v>
      </c>
      <c r="B26" s="5" t="s">
        <v>24</v>
      </c>
      <c r="C26" s="4"/>
      <c r="D26" s="21"/>
      <c r="E26" s="22">
        <v>30038.31</v>
      </c>
      <c r="F26" s="94">
        <v>0.03</v>
      </c>
      <c r="G26" s="21">
        <f>E26*F26</f>
        <v>901.14930000000004</v>
      </c>
      <c r="H26" s="21"/>
      <c r="I26" s="21">
        <f>22228.31+G26+G26</f>
        <v>24030.608600000003</v>
      </c>
      <c r="J26" s="55"/>
      <c r="K26" s="21">
        <f>E26-I26</f>
        <v>6007.7013999999981</v>
      </c>
    </row>
    <row r="27" spans="1:13" s="3" customFormat="1" ht="12" x14ac:dyDescent="0.25">
      <c r="A27" s="54" t="s">
        <v>230</v>
      </c>
      <c r="B27" s="5" t="s">
        <v>231</v>
      </c>
      <c r="C27" s="4">
        <v>2017</v>
      </c>
      <c r="D27" s="21">
        <v>3973.64</v>
      </c>
      <c r="E27" s="22">
        <v>3973.64</v>
      </c>
      <c r="F27" s="94">
        <v>0.03</v>
      </c>
      <c r="G27" s="21">
        <v>119.21</v>
      </c>
      <c r="H27" s="21"/>
      <c r="I27" s="21">
        <v>119.21</v>
      </c>
      <c r="J27" s="55"/>
      <c r="K27" s="21">
        <f>E27-I27</f>
        <v>3854.43</v>
      </c>
    </row>
    <row r="28" spans="1:13" s="14" customFormat="1" ht="12" x14ac:dyDescent="0.25">
      <c r="A28" s="18"/>
      <c r="B28" s="95" t="s">
        <v>28</v>
      </c>
      <c r="C28" s="13"/>
      <c r="D28" s="24">
        <v>3973.64</v>
      </c>
      <c r="E28" s="25">
        <f>SUM(E21:E27)</f>
        <v>221814.72000000003</v>
      </c>
      <c r="F28" s="31"/>
      <c r="G28" s="24">
        <f>SUM(G25:G27)</f>
        <v>1142.9135000000001</v>
      </c>
      <c r="H28" s="24"/>
      <c r="I28" s="24">
        <f>SUM(I21:I27)</f>
        <v>210318.48860000001</v>
      </c>
      <c r="J28" s="57"/>
      <c r="K28" s="24">
        <f>SUM(K21:K27)</f>
        <v>11496.231399999999</v>
      </c>
      <c r="M28" s="81"/>
    </row>
    <row r="29" spans="1:13" s="3" customFormat="1" x14ac:dyDescent="0.25">
      <c r="A29" s="17"/>
      <c r="B29" s="5"/>
      <c r="C29" s="4"/>
      <c r="D29" s="21"/>
      <c r="E29" s="22"/>
      <c r="F29" s="30"/>
      <c r="G29" s="21"/>
      <c r="H29" s="21"/>
      <c r="I29" s="21"/>
      <c r="J29" s="56"/>
      <c r="K29" s="88"/>
    </row>
    <row r="30" spans="1:13" s="3" customFormat="1" x14ac:dyDescent="0.25">
      <c r="A30" s="17"/>
      <c r="B30" s="12" t="s">
        <v>15</v>
      </c>
      <c r="C30" s="4"/>
      <c r="D30" s="21"/>
      <c r="E30" s="22"/>
      <c r="F30" s="30"/>
      <c r="G30" s="21"/>
      <c r="H30" s="21"/>
      <c r="I30" s="21"/>
      <c r="J30" s="56"/>
      <c r="K30" s="88"/>
    </row>
    <row r="31" spans="1:13" s="3" customFormat="1" ht="12" x14ac:dyDescent="0.25">
      <c r="A31" s="54" t="s">
        <v>230</v>
      </c>
      <c r="B31" s="5" t="s">
        <v>64</v>
      </c>
      <c r="C31" s="4"/>
      <c r="D31" s="21"/>
      <c r="E31" s="22">
        <v>180.76</v>
      </c>
      <c r="F31" s="30"/>
      <c r="G31" s="21"/>
      <c r="H31" s="21"/>
      <c r="I31" s="21">
        <f>E31</f>
        <v>180.76</v>
      </c>
      <c r="J31" s="56"/>
      <c r="K31" s="21">
        <f>E31-I31</f>
        <v>0</v>
      </c>
    </row>
    <row r="32" spans="1:13" s="3" customFormat="1" ht="12" x14ac:dyDescent="0.25">
      <c r="A32" s="54" t="s">
        <v>230</v>
      </c>
      <c r="B32" s="5" t="s">
        <v>65</v>
      </c>
      <c r="C32" s="4"/>
      <c r="D32" s="21"/>
      <c r="E32" s="22">
        <v>553.71</v>
      </c>
      <c r="F32" s="30"/>
      <c r="G32" s="21"/>
      <c r="H32" s="21"/>
      <c r="I32" s="21">
        <f t="shared" ref="I32:I84" si="3">E32</f>
        <v>553.71</v>
      </c>
      <c r="J32" s="56"/>
      <c r="K32" s="21">
        <f t="shared" ref="K32:K85" si="4">E32-I32</f>
        <v>0</v>
      </c>
    </row>
    <row r="33" spans="1:11" s="3" customFormat="1" ht="12" x14ac:dyDescent="0.25">
      <c r="A33" s="54" t="s">
        <v>230</v>
      </c>
      <c r="B33" s="5" t="s">
        <v>66</v>
      </c>
      <c r="C33" s="4"/>
      <c r="D33" s="21"/>
      <c r="E33" s="22">
        <v>636.27</v>
      </c>
      <c r="F33" s="30"/>
      <c r="G33" s="21"/>
      <c r="H33" s="21"/>
      <c r="I33" s="21">
        <f t="shared" si="3"/>
        <v>636.27</v>
      </c>
      <c r="J33" s="56"/>
      <c r="K33" s="21">
        <f t="shared" si="4"/>
        <v>0</v>
      </c>
    </row>
    <row r="34" spans="1:11" s="3" customFormat="1" ht="12" x14ac:dyDescent="0.25">
      <c r="A34" s="54" t="s">
        <v>230</v>
      </c>
      <c r="B34" s="5" t="s">
        <v>67</v>
      </c>
      <c r="C34" s="4"/>
      <c r="D34" s="21"/>
      <c r="E34" s="22">
        <v>102.77</v>
      </c>
      <c r="F34" s="30"/>
      <c r="G34" s="21"/>
      <c r="H34" s="21"/>
      <c r="I34" s="21">
        <f t="shared" si="3"/>
        <v>102.77</v>
      </c>
      <c r="J34" s="56"/>
      <c r="K34" s="21">
        <f t="shared" si="4"/>
        <v>0</v>
      </c>
    </row>
    <row r="35" spans="1:11" s="3" customFormat="1" ht="12" x14ac:dyDescent="0.25">
      <c r="A35" s="54" t="s">
        <v>230</v>
      </c>
      <c r="B35" s="5" t="s">
        <v>68</v>
      </c>
      <c r="C35" s="4"/>
      <c r="D35" s="21"/>
      <c r="E35" s="22">
        <v>1189.04</v>
      </c>
      <c r="F35" s="30"/>
      <c r="G35" s="21"/>
      <c r="H35" s="21"/>
      <c r="I35" s="21">
        <f t="shared" si="3"/>
        <v>1189.04</v>
      </c>
      <c r="J35" s="56"/>
      <c r="K35" s="21">
        <f t="shared" si="4"/>
        <v>0</v>
      </c>
    </row>
    <row r="36" spans="1:11" s="3" customFormat="1" ht="12" x14ac:dyDescent="0.25">
      <c r="A36" s="54" t="s">
        <v>230</v>
      </c>
      <c r="B36" s="5" t="s">
        <v>69</v>
      </c>
      <c r="C36" s="4"/>
      <c r="D36" s="21"/>
      <c r="E36" s="22">
        <v>28277.05</v>
      </c>
      <c r="F36" s="30"/>
      <c r="G36" s="21"/>
      <c r="H36" s="21"/>
      <c r="I36" s="21">
        <f t="shared" si="3"/>
        <v>28277.05</v>
      </c>
      <c r="J36" s="56"/>
      <c r="K36" s="21">
        <f t="shared" si="4"/>
        <v>0</v>
      </c>
    </row>
    <row r="37" spans="1:11" s="3" customFormat="1" ht="12" x14ac:dyDescent="0.25">
      <c r="A37" s="54" t="s">
        <v>230</v>
      </c>
      <c r="B37" s="5" t="s">
        <v>70</v>
      </c>
      <c r="C37" s="4"/>
      <c r="D37" s="21"/>
      <c r="E37" s="22">
        <v>2376.73</v>
      </c>
      <c r="F37" s="30"/>
      <c r="G37" s="21"/>
      <c r="H37" s="21"/>
      <c r="I37" s="21">
        <f t="shared" si="3"/>
        <v>2376.73</v>
      </c>
      <c r="J37" s="56"/>
      <c r="K37" s="21">
        <f t="shared" si="4"/>
        <v>0</v>
      </c>
    </row>
    <row r="38" spans="1:11" s="3" customFormat="1" ht="12" x14ac:dyDescent="0.25">
      <c r="A38" s="54" t="s">
        <v>230</v>
      </c>
      <c r="B38" s="5" t="s">
        <v>71</v>
      </c>
      <c r="C38" s="4"/>
      <c r="D38" s="21"/>
      <c r="E38" s="22">
        <v>12797.8</v>
      </c>
      <c r="F38" s="30"/>
      <c r="G38" s="21"/>
      <c r="H38" s="21"/>
      <c r="I38" s="21">
        <f t="shared" si="3"/>
        <v>12797.8</v>
      </c>
      <c r="J38" s="56"/>
      <c r="K38" s="21">
        <f t="shared" si="4"/>
        <v>0</v>
      </c>
    </row>
    <row r="39" spans="1:11" s="3" customFormat="1" ht="12" x14ac:dyDescent="0.25">
      <c r="A39" s="54" t="s">
        <v>230</v>
      </c>
      <c r="B39" s="5" t="s">
        <v>72</v>
      </c>
      <c r="C39" s="4"/>
      <c r="D39" s="21"/>
      <c r="E39" s="22">
        <v>4916.67</v>
      </c>
      <c r="F39" s="30"/>
      <c r="G39" s="21"/>
      <c r="H39" s="21"/>
      <c r="I39" s="21">
        <f t="shared" si="3"/>
        <v>4916.67</v>
      </c>
      <c r="J39" s="56"/>
      <c r="K39" s="21">
        <f t="shared" si="4"/>
        <v>0</v>
      </c>
    </row>
    <row r="40" spans="1:11" s="3" customFormat="1" ht="12" x14ac:dyDescent="0.25">
      <c r="A40" s="54" t="s">
        <v>230</v>
      </c>
      <c r="B40" s="5" t="s">
        <v>73</v>
      </c>
      <c r="C40" s="4"/>
      <c r="D40" s="21"/>
      <c r="E40" s="22">
        <v>7495.46</v>
      </c>
      <c r="F40" s="30"/>
      <c r="G40" s="21"/>
      <c r="H40" s="21"/>
      <c r="I40" s="21">
        <f t="shared" si="3"/>
        <v>7495.46</v>
      </c>
      <c r="J40" s="56"/>
      <c r="K40" s="21">
        <f t="shared" si="4"/>
        <v>0</v>
      </c>
    </row>
    <row r="41" spans="1:11" s="3" customFormat="1" ht="12" x14ac:dyDescent="0.25">
      <c r="A41" s="54" t="s">
        <v>230</v>
      </c>
      <c r="B41" s="5" t="s">
        <v>74</v>
      </c>
      <c r="C41" s="4"/>
      <c r="D41" s="21"/>
      <c r="E41" s="22">
        <v>4916.67</v>
      </c>
      <c r="F41" s="30"/>
      <c r="G41" s="21"/>
      <c r="H41" s="21"/>
      <c r="I41" s="21">
        <f t="shared" si="3"/>
        <v>4916.67</v>
      </c>
      <c r="J41" s="56"/>
      <c r="K41" s="21">
        <f t="shared" si="4"/>
        <v>0</v>
      </c>
    </row>
    <row r="42" spans="1:11" s="3" customFormat="1" ht="12" x14ac:dyDescent="0.25">
      <c r="A42" s="54" t="s">
        <v>230</v>
      </c>
      <c r="B42" s="5" t="s">
        <v>75</v>
      </c>
      <c r="C42" s="4"/>
      <c r="D42" s="21"/>
      <c r="E42" s="22">
        <v>252820.16</v>
      </c>
      <c r="F42" s="30"/>
      <c r="G42" s="21"/>
      <c r="H42" s="21"/>
      <c r="I42" s="21">
        <f t="shared" si="3"/>
        <v>252820.16</v>
      </c>
      <c r="J42" s="56"/>
      <c r="K42" s="21">
        <f t="shared" si="4"/>
        <v>0</v>
      </c>
    </row>
    <row r="43" spans="1:11" s="3" customFormat="1" ht="12" x14ac:dyDescent="0.25">
      <c r="A43" s="54" t="s">
        <v>230</v>
      </c>
      <c r="B43" s="5" t="s">
        <v>76</v>
      </c>
      <c r="C43" s="4"/>
      <c r="D43" s="21"/>
      <c r="E43" s="22">
        <v>27372.22</v>
      </c>
      <c r="F43" s="30"/>
      <c r="G43" s="21"/>
      <c r="H43" s="21"/>
      <c r="I43" s="21">
        <f t="shared" si="3"/>
        <v>27372.22</v>
      </c>
      <c r="J43" s="56"/>
      <c r="K43" s="21">
        <f t="shared" si="4"/>
        <v>0</v>
      </c>
    </row>
    <row r="44" spans="1:11" s="3" customFormat="1" ht="12" x14ac:dyDescent="0.25">
      <c r="A44" s="54" t="s">
        <v>230</v>
      </c>
      <c r="B44" s="5" t="s">
        <v>77</v>
      </c>
      <c r="C44" s="4"/>
      <c r="D44" s="21"/>
      <c r="E44" s="22">
        <v>46371</v>
      </c>
      <c r="F44" s="30"/>
      <c r="G44" s="21"/>
      <c r="H44" s="21"/>
      <c r="I44" s="21">
        <f t="shared" si="3"/>
        <v>46371</v>
      </c>
      <c r="J44" s="56"/>
      <c r="K44" s="21">
        <f t="shared" si="4"/>
        <v>0</v>
      </c>
    </row>
    <row r="45" spans="1:11" s="3" customFormat="1" ht="12" x14ac:dyDescent="0.25">
      <c r="A45" s="54" t="s">
        <v>230</v>
      </c>
      <c r="B45" s="5" t="s">
        <v>223</v>
      </c>
      <c r="C45" s="4" t="s">
        <v>233</v>
      </c>
      <c r="D45" s="21">
        <v>-56537.06</v>
      </c>
      <c r="E45" s="22">
        <v>0</v>
      </c>
      <c r="F45" s="30"/>
      <c r="G45" s="21"/>
      <c r="H45" s="21"/>
      <c r="I45" s="21">
        <f t="shared" si="3"/>
        <v>0</v>
      </c>
      <c r="J45" s="56"/>
      <c r="K45" s="21">
        <f t="shared" si="4"/>
        <v>0</v>
      </c>
    </row>
    <row r="46" spans="1:11" s="3" customFormat="1" ht="12" x14ac:dyDescent="0.25">
      <c r="A46" s="54" t="s">
        <v>230</v>
      </c>
      <c r="B46" s="5" t="s">
        <v>224</v>
      </c>
      <c r="C46" s="4"/>
      <c r="D46" s="21"/>
      <c r="E46" s="22">
        <f>64438.36+64438.37+64438.37</f>
        <v>193315.1</v>
      </c>
      <c r="F46" s="30"/>
      <c r="G46" s="21"/>
      <c r="H46" s="21"/>
      <c r="I46" s="21">
        <f t="shared" si="3"/>
        <v>193315.1</v>
      </c>
      <c r="J46" s="56"/>
      <c r="K46" s="21">
        <f t="shared" si="4"/>
        <v>0</v>
      </c>
    </row>
    <row r="47" spans="1:11" s="3" customFormat="1" ht="12" x14ac:dyDescent="0.25">
      <c r="A47" s="54" t="s">
        <v>230</v>
      </c>
      <c r="B47" s="5" t="s">
        <v>78</v>
      </c>
      <c r="C47" s="4"/>
      <c r="D47" s="21"/>
      <c r="E47" s="22">
        <v>237901.42</v>
      </c>
      <c r="F47" s="30"/>
      <c r="G47" s="21"/>
      <c r="H47" s="21"/>
      <c r="I47" s="21">
        <f t="shared" si="3"/>
        <v>237901.42</v>
      </c>
      <c r="J47" s="56"/>
      <c r="K47" s="21">
        <f t="shared" si="4"/>
        <v>0</v>
      </c>
    </row>
    <row r="48" spans="1:11" s="3" customFormat="1" ht="12" x14ac:dyDescent="0.25">
      <c r="A48" s="54" t="s">
        <v>230</v>
      </c>
      <c r="B48" s="5" t="s">
        <v>79</v>
      </c>
      <c r="C48" s="4"/>
      <c r="D48" s="21"/>
      <c r="E48" s="22">
        <v>25863.27</v>
      </c>
      <c r="F48" s="30"/>
      <c r="G48" s="21"/>
      <c r="H48" s="21"/>
      <c r="I48" s="21">
        <f t="shared" si="3"/>
        <v>25863.27</v>
      </c>
      <c r="J48" s="56"/>
      <c r="K48" s="21">
        <f t="shared" si="4"/>
        <v>0</v>
      </c>
    </row>
    <row r="49" spans="1:11" s="3" customFormat="1" ht="12" x14ac:dyDescent="0.25">
      <c r="A49" s="54" t="s">
        <v>230</v>
      </c>
      <c r="B49" s="5" t="s">
        <v>80</v>
      </c>
      <c r="C49" s="4"/>
      <c r="D49" s="21"/>
      <c r="E49" s="22">
        <v>3393.12</v>
      </c>
      <c r="F49" s="30"/>
      <c r="G49" s="21"/>
      <c r="H49" s="21"/>
      <c r="I49" s="21">
        <f t="shared" si="3"/>
        <v>3393.12</v>
      </c>
      <c r="J49" s="56"/>
      <c r="K49" s="21">
        <f t="shared" si="4"/>
        <v>0</v>
      </c>
    </row>
    <row r="50" spans="1:11" s="3" customFormat="1" ht="12" x14ac:dyDescent="0.25">
      <c r="A50" s="54" t="s">
        <v>230</v>
      </c>
      <c r="B50" s="5" t="s">
        <v>81</v>
      </c>
      <c r="C50" s="4"/>
      <c r="D50" s="21"/>
      <c r="E50" s="22">
        <v>1134.8399999999999</v>
      </c>
      <c r="F50" s="30"/>
      <c r="G50" s="21"/>
      <c r="H50" s="21"/>
      <c r="I50" s="21">
        <f t="shared" si="3"/>
        <v>1134.8399999999999</v>
      </c>
      <c r="J50" s="56"/>
      <c r="K50" s="21">
        <f t="shared" si="4"/>
        <v>0</v>
      </c>
    </row>
    <row r="51" spans="1:11" s="3" customFormat="1" ht="12" x14ac:dyDescent="0.25">
      <c r="A51" s="54" t="s">
        <v>230</v>
      </c>
      <c r="B51" s="5" t="s">
        <v>82</v>
      </c>
      <c r="C51" s="4"/>
      <c r="D51" s="21"/>
      <c r="E51" s="22">
        <v>809.55</v>
      </c>
      <c r="F51" s="30"/>
      <c r="G51" s="21"/>
      <c r="H51" s="21"/>
      <c r="I51" s="21">
        <f t="shared" si="3"/>
        <v>809.55</v>
      </c>
      <c r="J51" s="56"/>
      <c r="K51" s="21">
        <f t="shared" si="4"/>
        <v>0</v>
      </c>
    </row>
    <row r="52" spans="1:11" s="3" customFormat="1" ht="12" x14ac:dyDescent="0.25">
      <c r="A52" s="54" t="s">
        <v>230</v>
      </c>
      <c r="B52" s="5" t="s">
        <v>83</v>
      </c>
      <c r="C52" s="4"/>
      <c r="D52" s="21"/>
      <c r="E52" s="22">
        <v>2608.11</v>
      </c>
      <c r="F52" s="30"/>
      <c r="G52" s="21"/>
      <c r="H52" s="21"/>
      <c r="I52" s="21">
        <f t="shared" si="3"/>
        <v>2608.11</v>
      </c>
      <c r="J52" s="56"/>
      <c r="K52" s="21">
        <f t="shared" si="4"/>
        <v>0</v>
      </c>
    </row>
    <row r="53" spans="1:11" s="3" customFormat="1" ht="12" x14ac:dyDescent="0.25">
      <c r="A53" s="54" t="s">
        <v>230</v>
      </c>
      <c r="B53" s="5" t="s">
        <v>84</v>
      </c>
      <c r="C53" s="4"/>
      <c r="D53" s="21"/>
      <c r="E53" s="22">
        <v>1962.54</v>
      </c>
      <c r="F53" s="30"/>
      <c r="G53" s="21"/>
      <c r="H53" s="21"/>
      <c r="I53" s="21">
        <f t="shared" si="3"/>
        <v>1962.54</v>
      </c>
      <c r="J53" s="56"/>
      <c r="K53" s="21">
        <f t="shared" si="4"/>
        <v>0</v>
      </c>
    </row>
    <row r="54" spans="1:11" s="3" customFormat="1" ht="12" x14ac:dyDescent="0.25">
      <c r="A54" s="54" t="s">
        <v>230</v>
      </c>
      <c r="B54" s="5" t="s">
        <v>85</v>
      </c>
      <c r="C54" s="4"/>
      <c r="D54" s="21"/>
      <c r="E54" s="22">
        <v>11878.51</v>
      </c>
      <c r="F54" s="30"/>
      <c r="G54" s="21"/>
      <c r="H54" s="21"/>
      <c r="I54" s="21">
        <f t="shared" si="3"/>
        <v>11878.51</v>
      </c>
      <c r="J54" s="56"/>
      <c r="K54" s="21">
        <f t="shared" si="4"/>
        <v>0</v>
      </c>
    </row>
    <row r="55" spans="1:11" s="3" customFormat="1" ht="12" x14ac:dyDescent="0.25">
      <c r="A55" s="54" t="s">
        <v>230</v>
      </c>
      <c r="B55" s="5" t="s">
        <v>86</v>
      </c>
      <c r="C55" s="4"/>
      <c r="D55" s="21"/>
      <c r="E55" s="22">
        <v>2478.9899999999998</v>
      </c>
      <c r="F55" s="30"/>
      <c r="G55" s="21"/>
      <c r="H55" s="21"/>
      <c r="I55" s="21">
        <f t="shared" si="3"/>
        <v>2478.9899999999998</v>
      </c>
      <c r="J55" s="56"/>
      <c r="K55" s="21">
        <f t="shared" si="4"/>
        <v>0</v>
      </c>
    </row>
    <row r="56" spans="1:11" s="3" customFormat="1" ht="12" x14ac:dyDescent="0.25">
      <c r="A56" s="54" t="s">
        <v>230</v>
      </c>
      <c r="B56" s="5" t="s">
        <v>87</v>
      </c>
      <c r="C56" s="4"/>
      <c r="D56" s="21"/>
      <c r="E56" s="22">
        <v>10810.03</v>
      </c>
      <c r="F56" s="30"/>
      <c r="G56" s="21"/>
      <c r="H56" s="21"/>
      <c r="I56" s="21">
        <f t="shared" si="3"/>
        <v>10810.03</v>
      </c>
      <c r="J56" s="56"/>
      <c r="K56" s="21">
        <f t="shared" si="4"/>
        <v>0</v>
      </c>
    </row>
    <row r="57" spans="1:11" s="3" customFormat="1" ht="12" x14ac:dyDescent="0.25">
      <c r="A57" s="54" t="s">
        <v>230</v>
      </c>
      <c r="B57" s="5" t="s">
        <v>88</v>
      </c>
      <c r="C57" s="4"/>
      <c r="D57" s="21"/>
      <c r="E57" s="22">
        <v>9646.56</v>
      </c>
      <c r="F57" s="30"/>
      <c r="G57" s="21"/>
      <c r="H57" s="21"/>
      <c r="I57" s="21">
        <f t="shared" si="3"/>
        <v>9646.56</v>
      </c>
      <c r="J57" s="56"/>
      <c r="K57" s="21">
        <f t="shared" si="4"/>
        <v>0</v>
      </c>
    </row>
    <row r="58" spans="1:11" s="3" customFormat="1" ht="12" x14ac:dyDescent="0.25">
      <c r="A58" s="54" t="s">
        <v>230</v>
      </c>
      <c r="B58" s="5" t="s">
        <v>89</v>
      </c>
      <c r="C58" s="4"/>
      <c r="D58" s="21"/>
      <c r="E58" s="22">
        <v>30987.41</v>
      </c>
      <c r="F58" s="30"/>
      <c r="G58" s="21"/>
      <c r="H58" s="21"/>
      <c r="I58" s="21">
        <f t="shared" si="3"/>
        <v>30987.41</v>
      </c>
      <c r="J58" s="56"/>
      <c r="K58" s="21">
        <f t="shared" si="4"/>
        <v>0</v>
      </c>
    </row>
    <row r="59" spans="1:11" s="3" customFormat="1" ht="12" x14ac:dyDescent="0.25">
      <c r="A59" s="54" t="s">
        <v>230</v>
      </c>
      <c r="B59" s="5" t="s">
        <v>90</v>
      </c>
      <c r="C59" s="4"/>
      <c r="D59" s="21"/>
      <c r="E59" s="22">
        <v>2207.85</v>
      </c>
      <c r="F59" s="30"/>
      <c r="G59" s="21"/>
      <c r="H59" s="21"/>
      <c r="I59" s="21">
        <f t="shared" si="3"/>
        <v>2207.85</v>
      </c>
      <c r="J59" s="56"/>
      <c r="K59" s="21">
        <f t="shared" si="4"/>
        <v>0</v>
      </c>
    </row>
    <row r="60" spans="1:11" s="3" customFormat="1" ht="12" x14ac:dyDescent="0.25">
      <c r="A60" s="54" t="s">
        <v>230</v>
      </c>
      <c r="B60" s="5" t="s">
        <v>91</v>
      </c>
      <c r="C60" s="4"/>
      <c r="D60" s="21"/>
      <c r="E60" s="22">
        <v>9038</v>
      </c>
      <c r="F60" s="30"/>
      <c r="G60" s="21"/>
      <c r="H60" s="21"/>
      <c r="I60" s="21">
        <f t="shared" si="3"/>
        <v>9038</v>
      </c>
      <c r="J60" s="56"/>
      <c r="K60" s="21">
        <f t="shared" si="4"/>
        <v>0</v>
      </c>
    </row>
    <row r="61" spans="1:11" s="3" customFormat="1" ht="12" x14ac:dyDescent="0.25">
      <c r="A61" s="54" t="s">
        <v>230</v>
      </c>
      <c r="B61" s="5" t="s">
        <v>92</v>
      </c>
      <c r="C61" s="4"/>
      <c r="D61" s="21"/>
      <c r="E61" s="22">
        <v>1755.95</v>
      </c>
      <c r="F61" s="30"/>
      <c r="G61" s="21"/>
      <c r="H61" s="21"/>
      <c r="I61" s="21">
        <f t="shared" si="3"/>
        <v>1755.95</v>
      </c>
      <c r="J61" s="56"/>
      <c r="K61" s="21">
        <f t="shared" si="4"/>
        <v>0</v>
      </c>
    </row>
    <row r="62" spans="1:11" s="3" customFormat="1" ht="12" x14ac:dyDescent="0.25">
      <c r="A62" s="54" t="s">
        <v>230</v>
      </c>
      <c r="B62" s="5" t="s">
        <v>93</v>
      </c>
      <c r="C62" s="4"/>
      <c r="D62" s="21"/>
      <c r="E62" s="22">
        <v>4131.66</v>
      </c>
      <c r="F62" s="30"/>
      <c r="G62" s="21"/>
      <c r="H62" s="21"/>
      <c r="I62" s="21">
        <f t="shared" si="3"/>
        <v>4131.66</v>
      </c>
      <c r="J62" s="56"/>
      <c r="K62" s="21">
        <f t="shared" si="4"/>
        <v>0</v>
      </c>
    </row>
    <row r="63" spans="1:11" s="3" customFormat="1" ht="12" x14ac:dyDescent="0.25">
      <c r="A63" s="54" t="s">
        <v>230</v>
      </c>
      <c r="B63" s="5" t="s">
        <v>94</v>
      </c>
      <c r="C63" s="4"/>
      <c r="D63" s="21"/>
      <c r="E63" s="22">
        <v>593.92999999999995</v>
      </c>
      <c r="F63" s="30"/>
      <c r="G63" s="21"/>
      <c r="H63" s="21"/>
      <c r="I63" s="21">
        <f t="shared" si="3"/>
        <v>593.92999999999995</v>
      </c>
      <c r="J63" s="56"/>
      <c r="K63" s="21">
        <f t="shared" si="4"/>
        <v>0</v>
      </c>
    </row>
    <row r="64" spans="1:11" s="3" customFormat="1" ht="12" x14ac:dyDescent="0.25">
      <c r="A64" s="54" t="s">
        <v>230</v>
      </c>
      <c r="B64" s="5" t="s">
        <v>95</v>
      </c>
      <c r="C64" s="4"/>
      <c r="D64" s="21"/>
      <c r="E64" s="22">
        <v>18075.990000000002</v>
      </c>
      <c r="F64" s="30"/>
      <c r="G64" s="21"/>
      <c r="H64" s="21"/>
      <c r="I64" s="21">
        <f t="shared" si="3"/>
        <v>18075.990000000002</v>
      </c>
      <c r="J64" s="56"/>
      <c r="K64" s="21">
        <f t="shared" si="4"/>
        <v>0</v>
      </c>
    </row>
    <row r="65" spans="1:11" s="3" customFormat="1" ht="12" x14ac:dyDescent="0.25">
      <c r="A65" s="54" t="s">
        <v>230</v>
      </c>
      <c r="B65" s="5" t="s">
        <v>96</v>
      </c>
      <c r="C65" s="4"/>
      <c r="D65" s="21"/>
      <c r="E65" s="22">
        <v>64557.11</v>
      </c>
      <c r="F65" s="30"/>
      <c r="G65" s="21"/>
      <c r="H65" s="21"/>
      <c r="I65" s="21">
        <f t="shared" si="3"/>
        <v>64557.11</v>
      </c>
      <c r="J65" s="56"/>
      <c r="K65" s="21">
        <f t="shared" si="4"/>
        <v>0</v>
      </c>
    </row>
    <row r="66" spans="1:11" s="3" customFormat="1" ht="12" x14ac:dyDescent="0.25">
      <c r="A66" s="54" t="s">
        <v>230</v>
      </c>
      <c r="B66" s="5" t="s">
        <v>229</v>
      </c>
      <c r="C66" s="4"/>
      <c r="D66" s="21"/>
      <c r="E66" s="22">
        <f>1859.24+3227.86</f>
        <v>5087.1000000000004</v>
      </c>
      <c r="F66" s="30"/>
      <c r="G66" s="21"/>
      <c r="H66" s="21"/>
      <c r="I66" s="21">
        <f t="shared" si="3"/>
        <v>5087.1000000000004</v>
      </c>
      <c r="J66" s="56"/>
      <c r="K66" s="21">
        <f t="shared" si="4"/>
        <v>0</v>
      </c>
    </row>
    <row r="67" spans="1:11" s="3" customFormat="1" ht="12" x14ac:dyDescent="0.25">
      <c r="A67" s="54" t="s">
        <v>230</v>
      </c>
      <c r="B67" s="5" t="s">
        <v>97</v>
      </c>
      <c r="C67" s="4"/>
      <c r="D67" s="21"/>
      <c r="E67" s="22">
        <v>10845.59</v>
      </c>
      <c r="F67" s="30"/>
      <c r="G67" s="21"/>
      <c r="H67" s="21"/>
      <c r="I67" s="21">
        <f t="shared" si="3"/>
        <v>10845.59</v>
      </c>
      <c r="J67" s="56"/>
      <c r="K67" s="21">
        <f t="shared" si="4"/>
        <v>0</v>
      </c>
    </row>
    <row r="68" spans="1:11" s="3" customFormat="1" ht="12" x14ac:dyDescent="0.25">
      <c r="A68" s="54" t="s">
        <v>230</v>
      </c>
      <c r="B68" s="5" t="s">
        <v>98</v>
      </c>
      <c r="C68" s="4"/>
      <c r="D68" s="21"/>
      <c r="E68" s="22">
        <v>76245.11</v>
      </c>
      <c r="F68" s="30"/>
      <c r="G68" s="21"/>
      <c r="H68" s="21"/>
      <c r="I68" s="21">
        <f t="shared" si="3"/>
        <v>76245.11</v>
      </c>
      <c r="J68" s="56"/>
      <c r="K68" s="21">
        <f t="shared" si="4"/>
        <v>0</v>
      </c>
    </row>
    <row r="69" spans="1:11" s="3" customFormat="1" ht="12" x14ac:dyDescent="0.25">
      <c r="A69" s="54" t="s">
        <v>230</v>
      </c>
      <c r="B69" s="5" t="s">
        <v>99</v>
      </c>
      <c r="C69" s="4"/>
      <c r="D69" s="21"/>
      <c r="E69" s="22">
        <v>1430</v>
      </c>
      <c r="F69" s="30"/>
      <c r="G69" s="21"/>
      <c r="H69" s="21"/>
      <c r="I69" s="21">
        <f t="shared" si="3"/>
        <v>1430</v>
      </c>
      <c r="J69" s="56"/>
      <c r="K69" s="21">
        <f t="shared" si="4"/>
        <v>0</v>
      </c>
    </row>
    <row r="70" spans="1:11" s="3" customFormat="1" ht="12" x14ac:dyDescent="0.25">
      <c r="A70" s="54" t="s">
        <v>230</v>
      </c>
      <c r="B70" s="5" t="s">
        <v>100</v>
      </c>
      <c r="C70" s="4"/>
      <c r="D70" s="21"/>
      <c r="E70" s="22">
        <v>600</v>
      </c>
      <c r="F70" s="30"/>
      <c r="G70" s="21"/>
      <c r="H70" s="21"/>
      <c r="I70" s="21">
        <f t="shared" si="3"/>
        <v>600</v>
      </c>
      <c r="J70" s="56"/>
      <c r="K70" s="21">
        <f t="shared" si="4"/>
        <v>0</v>
      </c>
    </row>
    <row r="71" spans="1:11" s="3" customFormat="1" ht="12" x14ac:dyDescent="0.25">
      <c r="A71" s="54" t="s">
        <v>230</v>
      </c>
      <c r="B71" s="5" t="s">
        <v>101</v>
      </c>
      <c r="C71" s="4"/>
      <c r="D71" s="21"/>
      <c r="E71" s="22">
        <v>539.70000000000005</v>
      </c>
      <c r="F71" s="30"/>
      <c r="G71" s="21"/>
      <c r="H71" s="21"/>
      <c r="I71" s="21">
        <f t="shared" si="3"/>
        <v>539.70000000000005</v>
      </c>
      <c r="J71" s="56"/>
      <c r="K71" s="21">
        <f t="shared" si="4"/>
        <v>0</v>
      </c>
    </row>
    <row r="72" spans="1:11" s="3" customFormat="1" ht="12" x14ac:dyDescent="0.25">
      <c r="A72" s="54" t="s">
        <v>230</v>
      </c>
      <c r="B72" s="5" t="s">
        <v>102</v>
      </c>
      <c r="C72" s="4"/>
      <c r="D72" s="21"/>
      <c r="E72" s="22">
        <v>4500</v>
      </c>
      <c r="F72" s="30"/>
      <c r="G72" s="21"/>
      <c r="H72" s="21"/>
      <c r="I72" s="21">
        <f t="shared" si="3"/>
        <v>4500</v>
      </c>
      <c r="J72" s="56"/>
      <c r="K72" s="21">
        <f t="shared" si="4"/>
        <v>0</v>
      </c>
    </row>
    <row r="73" spans="1:11" s="3" customFormat="1" ht="12" x14ac:dyDescent="0.25">
      <c r="A73" s="54" t="s">
        <v>230</v>
      </c>
      <c r="B73" s="5" t="s">
        <v>103</v>
      </c>
      <c r="C73" s="4"/>
      <c r="D73" s="21"/>
      <c r="E73" s="22">
        <v>10247.49</v>
      </c>
      <c r="F73" s="30"/>
      <c r="G73" s="21"/>
      <c r="H73" s="21"/>
      <c r="I73" s="21">
        <f>E73</f>
        <v>10247.49</v>
      </c>
      <c r="J73" s="56"/>
      <c r="K73" s="21">
        <f t="shared" si="4"/>
        <v>0</v>
      </c>
    </row>
    <row r="74" spans="1:11" s="3" customFormat="1" ht="12" x14ac:dyDescent="0.25">
      <c r="A74" s="54" t="s">
        <v>230</v>
      </c>
      <c r="B74" s="5" t="s">
        <v>225</v>
      </c>
      <c r="C74" s="4"/>
      <c r="D74" s="21"/>
      <c r="E74" s="22">
        <f>11737.44+11737.44+11737.44+11737.44</f>
        <v>46949.760000000002</v>
      </c>
      <c r="F74" s="30"/>
      <c r="G74" s="21"/>
      <c r="H74" s="21"/>
      <c r="I74" s="21">
        <f t="shared" si="3"/>
        <v>46949.760000000002</v>
      </c>
      <c r="J74" s="56"/>
      <c r="K74" s="21">
        <f t="shared" si="4"/>
        <v>0</v>
      </c>
    </row>
    <row r="75" spans="1:11" s="3" customFormat="1" ht="12" x14ac:dyDescent="0.25">
      <c r="A75" s="54" t="s">
        <v>230</v>
      </c>
      <c r="B75" s="5" t="s">
        <v>104</v>
      </c>
      <c r="C75" s="4"/>
      <c r="D75" s="21"/>
      <c r="E75" s="22">
        <v>57825.1</v>
      </c>
      <c r="F75" s="30"/>
      <c r="G75" s="21"/>
      <c r="H75" s="21"/>
      <c r="I75" s="21">
        <f t="shared" si="3"/>
        <v>57825.1</v>
      </c>
      <c r="J75" s="56"/>
      <c r="K75" s="21">
        <f t="shared" si="4"/>
        <v>0</v>
      </c>
    </row>
    <row r="76" spans="1:11" s="3" customFormat="1" ht="12" x14ac:dyDescent="0.25">
      <c r="A76" s="54" t="s">
        <v>230</v>
      </c>
      <c r="B76" s="5" t="s">
        <v>105</v>
      </c>
      <c r="C76" s="4"/>
      <c r="D76" s="21"/>
      <c r="E76" s="22">
        <v>148222.57</v>
      </c>
      <c r="F76" s="30"/>
      <c r="G76" s="21"/>
      <c r="H76" s="21"/>
      <c r="I76" s="21">
        <f t="shared" si="3"/>
        <v>148222.57</v>
      </c>
      <c r="J76" s="56"/>
      <c r="K76" s="21">
        <f t="shared" si="4"/>
        <v>0</v>
      </c>
    </row>
    <row r="77" spans="1:11" s="3" customFormat="1" ht="12" x14ac:dyDescent="0.25">
      <c r="A77" s="54" t="s">
        <v>230</v>
      </c>
      <c r="B77" s="5" t="s">
        <v>106</v>
      </c>
      <c r="C77" s="4"/>
      <c r="D77" s="21"/>
      <c r="E77" s="22">
        <v>22057.71</v>
      </c>
      <c r="F77" s="30"/>
      <c r="G77" s="21"/>
      <c r="H77" s="21"/>
      <c r="I77" s="21">
        <f t="shared" si="3"/>
        <v>22057.71</v>
      </c>
      <c r="J77" s="56"/>
      <c r="K77" s="21">
        <f t="shared" si="4"/>
        <v>0</v>
      </c>
    </row>
    <row r="78" spans="1:11" s="3" customFormat="1" ht="12" x14ac:dyDescent="0.25">
      <c r="A78" s="54" t="s">
        <v>230</v>
      </c>
      <c r="B78" s="5" t="s">
        <v>107</v>
      </c>
      <c r="C78" s="4"/>
      <c r="D78" s="21"/>
      <c r="E78" s="22">
        <v>16004.38</v>
      </c>
      <c r="F78" s="30"/>
      <c r="G78" s="21"/>
      <c r="H78" s="21"/>
      <c r="I78" s="21">
        <f t="shared" si="3"/>
        <v>16004.38</v>
      </c>
      <c r="J78" s="56"/>
      <c r="K78" s="21">
        <f t="shared" si="4"/>
        <v>0</v>
      </c>
    </row>
    <row r="79" spans="1:11" s="3" customFormat="1" ht="12" x14ac:dyDescent="0.25">
      <c r="A79" s="54" t="s">
        <v>230</v>
      </c>
      <c r="B79" s="5" t="s">
        <v>108</v>
      </c>
      <c r="C79" s="4"/>
      <c r="D79" s="21"/>
      <c r="E79" s="22">
        <v>898.48</v>
      </c>
      <c r="F79" s="30"/>
      <c r="G79" s="21"/>
      <c r="H79" s="21"/>
      <c r="I79" s="21">
        <f t="shared" si="3"/>
        <v>898.48</v>
      </c>
      <c r="J79" s="56"/>
      <c r="K79" s="21">
        <f t="shared" si="4"/>
        <v>0</v>
      </c>
    </row>
    <row r="80" spans="1:11" s="3" customFormat="1" ht="12" x14ac:dyDescent="0.25">
      <c r="A80" s="54" t="s">
        <v>230</v>
      </c>
      <c r="B80" s="5" t="s">
        <v>226</v>
      </c>
      <c r="C80" s="4"/>
      <c r="D80" s="21"/>
      <c r="E80" s="22">
        <f>1588.4+3491.5+4216.03</f>
        <v>9295.93</v>
      </c>
      <c r="F80" s="30"/>
      <c r="G80" s="21"/>
      <c r="H80" s="21"/>
      <c r="I80" s="21">
        <f t="shared" si="3"/>
        <v>9295.93</v>
      </c>
      <c r="J80" s="56"/>
      <c r="K80" s="21">
        <f t="shared" si="4"/>
        <v>0</v>
      </c>
    </row>
    <row r="81" spans="1:16" s="3" customFormat="1" ht="12" x14ac:dyDescent="0.25">
      <c r="A81" s="54" t="s">
        <v>230</v>
      </c>
      <c r="B81" s="5" t="s">
        <v>227</v>
      </c>
      <c r="C81" s="4"/>
      <c r="D81" s="21"/>
      <c r="E81" s="22">
        <f>38378.02+38378.02</f>
        <v>76756.039999999994</v>
      </c>
      <c r="F81" s="30"/>
      <c r="G81" s="21"/>
      <c r="H81" s="21"/>
      <c r="I81" s="21">
        <f t="shared" si="3"/>
        <v>76756.039999999994</v>
      </c>
      <c r="J81" s="56"/>
      <c r="K81" s="21">
        <f t="shared" si="4"/>
        <v>0</v>
      </c>
    </row>
    <row r="82" spans="1:16" s="3" customFormat="1" ht="12" x14ac:dyDescent="0.25">
      <c r="A82" s="54" t="s">
        <v>230</v>
      </c>
      <c r="B82" s="5" t="s">
        <v>109</v>
      </c>
      <c r="C82" s="4"/>
      <c r="D82" s="21"/>
      <c r="E82" s="22">
        <v>11922.83</v>
      </c>
      <c r="F82" s="30"/>
      <c r="G82" s="21"/>
      <c r="H82" s="21"/>
      <c r="I82" s="21">
        <f t="shared" si="3"/>
        <v>11922.83</v>
      </c>
      <c r="J82" s="56"/>
      <c r="K82" s="21">
        <f t="shared" si="4"/>
        <v>0</v>
      </c>
    </row>
    <row r="83" spans="1:16" s="3" customFormat="1" ht="12" x14ac:dyDescent="0.25">
      <c r="A83" s="54" t="s">
        <v>230</v>
      </c>
      <c r="B83" s="5" t="s">
        <v>110</v>
      </c>
      <c r="C83" s="4"/>
      <c r="D83" s="21"/>
      <c r="E83" s="22">
        <v>10979.45</v>
      </c>
      <c r="F83" s="30"/>
      <c r="G83" s="21"/>
      <c r="H83" s="21"/>
      <c r="I83" s="21">
        <f t="shared" si="3"/>
        <v>10979.45</v>
      </c>
      <c r="J83" s="56"/>
      <c r="K83" s="21">
        <f t="shared" si="4"/>
        <v>0</v>
      </c>
    </row>
    <row r="84" spans="1:16" s="3" customFormat="1" ht="12" x14ac:dyDescent="0.25">
      <c r="A84" s="54" t="s">
        <v>230</v>
      </c>
      <c r="B84" s="5" t="s">
        <v>111</v>
      </c>
      <c r="C84" s="4"/>
      <c r="D84" s="21"/>
      <c r="E84" s="22">
        <v>6587.67</v>
      </c>
      <c r="F84" s="30"/>
      <c r="G84" s="21"/>
      <c r="H84" s="21"/>
      <c r="I84" s="21">
        <f t="shared" si="3"/>
        <v>6587.67</v>
      </c>
      <c r="J84" s="56"/>
      <c r="K84" s="21">
        <f t="shared" si="4"/>
        <v>0</v>
      </c>
    </row>
    <row r="85" spans="1:16" s="3" customFormat="1" ht="12" x14ac:dyDescent="0.25">
      <c r="A85" s="54" t="s">
        <v>230</v>
      </c>
      <c r="B85" s="5" t="s">
        <v>228</v>
      </c>
      <c r="C85" s="4"/>
      <c r="D85" s="21"/>
      <c r="E85" s="22">
        <f>5800+5400</f>
        <v>11200</v>
      </c>
      <c r="F85" s="30"/>
      <c r="G85" s="21"/>
      <c r="H85" s="21"/>
      <c r="I85" s="21">
        <f>E85</f>
        <v>11200</v>
      </c>
      <c r="J85" s="56"/>
      <c r="K85" s="21">
        <f t="shared" si="4"/>
        <v>0</v>
      </c>
    </row>
    <row r="86" spans="1:16" s="3" customFormat="1" ht="12" x14ac:dyDescent="0.25">
      <c r="A86" s="54" t="s">
        <v>230</v>
      </c>
      <c r="B86" s="5" t="s">
        <v>112</v>
      </c>
      <c r="C86" s="4"/>
      <c r="D86" s="21"/>
      <c r="E86" s="22">
        <v>25000</v>
      </c>
      <c r="F86" s="30"/>
      <c r="G86" s="21"/>
      <c r="H86" s="21"/>
      <c r="I86" s="21">
        <f t="shared" ref="I86:I89" si="5">E86</f>
        <v>25000</v>
      </c>
      <c r="J86" s="56"/>
      <c r="K86" s="21">
        <f t="shared" ref="K86:K89" si="6">E86-I86</f>
        <v>0</v>
      </c>
    </row>
    <row r="87" spans="1:16" s="3" customFormat="1" ht="12" x14ac:dyDescent="0.25">
      <c r="A87" s="54" t="s">
        <v>230</v>
      </c>
      <c r="B87" s="5" t="s">
        <v>113</v>
      </c>
      <c r="C87" s="4"/>
      <c r="D87" s="21"/>
      <c r="E87" s="22">
        <v>20000</v>
      </c>
      <c r="F87" s="30"/>
      <c r="G87" s="21"/>
      <c r="H87" s="21"/>
      <c r="I87" s="21">
        <f t="shared" si="5"/>
        <v>20000</v>
      </c>
      <c r="J87" s="56"/>
      <c r="K87" s="21">
        <f t="shared" si="6"/>
        <v>0</v>
      </c>
    </row>
    <row r="88" spans="1:16" s="3" customFormat="1" ht="12" x14ac:dyDescent="0.25">
      <c r="A88" s="54" t="s">
        <v>230</v>
      </c>
      <c r="B88" s="5" t="s">
        <v>114</v>
      </c>
      <c r="C88" s="4"/>
      <c r="D88" s="21"/>
      <c r="E88" s="22">
        <v>45000</v>
      </c>
      <c r="F88" s="30"/>
      <c r="G88" s="21"/>
      <c r="H88" s="21"/>
      <c r="I88" s="21">
        <f t="shared" si="5"/>
        <v>45000</v>
      </c>
      <c r="J88" s="56"/>
      <c r="K88" s="21">
        <f t="shared" si="6"/>
        <v>0</v>
      </c>
    </row>
    <row r="89" spans="1:16" s="3" customFormat="1" ht="12" x14ac:dyDescent="0.25">
      <c r="A89" s="54" t="s">
        <v>230</v>
      </c>
      <c r="B89" s="5" t="s">
        <v>115</v>
      </c>
      <c r="C89" s="4"/>
      <c r="D89" s="21"/>
      <c r="E89" s="22">
        <v>60000</v>
      </c>
      <c r="F89" s="30"/>
      <c r="G89" s="21"/>
      <c r="H89" s="21"/>
      <c r="I89" s="21">
        <f t="shared" si="5"/>
        <v>60000</v>
      </c>
      <c r="J89" s="56"/>
      <c r="K89" s="21">
        <f t="shared" si="6"/>
        <v>0</v>
      </c>
    </row>
    <row r="90" spans="1:16" s="3" customFormat="1" ht="12" x14ac:dyDescent="0.25">
      <c r="A90" s="54" t="s">
        <v>230</v>
      </c>
      <c r="B90" s="5" t="s">
        <v>29</v>
      </c>
      <c r="C90" s="4"/>
      <c r="D90" s="21"/>
      <c r="E90" s="22">
        <v>3300</v>
      </c>
      <c r="F90" s="94"/>
      <c r="G90" s="21"/>
      <c r="H90" s="21"/>
      <c r="I90" s="21">
        <v>3300</v>
      </c>
      <c r="J90" s="56"/>
      <c r="K90" s="21">
        <f>E90-I90</f>
        <v>0</v>
      </c>
    </row>
    <row r="91" spans="1:16" s="3" customFormat="1" ht="12" x14ac:dyDescent="0.25">
      <c r="A91" s="54" t="s">
        <v>230</v>
      </c>
      <c r="B91" s="35" t="s">
        <v>30</v>
      </c>
      <c r="C91" s="4"/>
      <c r="D91" s="21"/>
      <c r="E91" s="22">
        <v>19650</v>
      </c>
      <c r="F91" s="94">
        <v>0.2</v>
      </c>
      <c r="G91" s="21">
        <v>2554.5</v>
      </c>
      <c r="H91" s="21"/>
      <c r="I91" s="21">
        <f>17095.5+G91</f>
        <v>19650</v>
      </c>
      <c r="J91" s="56"/>
      <c r="K91" s="21">
        <f>E91-I91</f>
        <v>0</v>
      </c>
    </row>
    <row r="92" spans="1:16" s="3" customFormat="1" ht="12" x14ac:dyDescent="0.25">
      <c r="A92" s="54" t="s">
        <v>230</v>
      </c>
      <c r="B92" s="35" t="s">
        <v>31</v>
      </c>
      <c r="C92" s="4"/>
      <c r="D92" s="21"/>
      <c r="E92" s="22">
        <v>152160</v>
      </c>
      <c r="F92" s="94">
        <v>0.2</v>
      </c>
      <c r="G92" s="21">
        <f>E92*F92</f>
        <v>30432</v>
      </c>
      <c r="H92" s="21"/>
      <c r="I92" s="21">
        <f>91296+G92+G92</f>
        <v>152160</v>
      </c>
      <c r="J92" s="56"/>
      <c r="K92" s="21">
        <f>E92-I92</f>
        <v>0</v>
      </c>
    </row>
    <row r="93" spans="1:16" s="3" customFormat="1" ht="12" x14ac:dyDescent="0.25">
      <c r="A93" s="54" t="s">
        <v>230</v>
      </c>
      <c r="B93" s="5" t="s">
        <v>32</v>
      </c>
      <c r="C93" s="4"/>
      <c r="D93" s="21"/>
      <c r="E93" s="22">
        <v>33000</v>
      </c>
      <c r="F93" s="94">
        <v>0.2</v>
      </c>
      <c r="G93" s="21">
        <f>E93*F93</f>
        <v>6600</v>
      </c>
      <c r="H93" s="21"/>
      <c r="I93" s="21">
        <f>19800+G93+G93</f>
        <v>33000</v>
      </c>
      <c r="J93" s="21"/>
      <c r="K93" s="21">
        <f>E93-I93</f>
        <v>0</v>
      </c>
    </row>
    <row r="94" spans="1:16" s="3" customFormat="1" ht="12" x14ac:dyDescent="0.25">
      <c r="A94" s="54" t="s">
        <v>230</v>
      </c>
      <c r="B94" s="5" t="s">
        <v>234</v>
      </c>
      <c r="C94" s="4">
        <v>2018</v>
      </c>
      <c r="D94" s="21">
        <v>50400</v>
      </c>
      <c r="E94" s="22">
        <v>50400</v>
      </c>
      <c r="F94" s="94"/>
      <c r="G94" s="21">
        <v>0</v>
      </c>
      <c r="H94" s="21"/>
      <c r="I94" s="22">
        <v>0</v>
      </c>
      <c r="J94" s="28"/>
      <c r="K94" s="21">
        <v>49150</v>
      </c>
    </row>
    <row r="95" spans="1:16" s="14" customFormat="1" x14ac:dyDescent="0.25">
      <c r="A95" s="82"/>
      <c r="B95" s="95" t="s">
        <v>28</v>
      </c>
      <c r="C95" s="13"/>
      <c r="D95" s="24"/>
      <c r="E95" s="25">
        <f>SUM(E31:E94)</f>
        <v>1959861.1600000001</v>
      </c>
      <c r="F95" s="84"/>
      <c r="G95" s="24">
        <f>SUM(G90:G93)</f>
        <v>39586.5</v>
      </c>
      <c r="H95" s="24"/>
      <c r="I95" s="25">
        <f>SUM(I31:I93)</f>
        <v>1909461.1600000001</v>
      </c>
      <c r="J95" s="83"/>
      <c r="K95" s="24">
        <f>SUM(K31:K94)</f>
        <v>49150</v>
      </c>
      <c r="M95" s="81"/>
      <c r="O95" s="85"/>
      <c r="P95" s="81"/>
    </row>
    <row r="96" spans="1:16" s="3" customFormat="1" ht="12" x14ac:dyDescent="0.25">
      <c r="A96" s="54"/>
      <c r="B96" s="35"/>
      <c r="C96" s="7"/>
      <c r="D96" s="39"/>
      <c r="E96" s="38"/>
      <c r="F96" s="78"/>
      <c r="G96" s="21"/>
      <c r="H96" s="39"/>
      <c r="I96" s="38"/>
      <c r="J96" s="39"/>
      <c r="K96" s="21"/>
      <c r="O96" s="79"/>
      <c r="P96" s="80"/>
    </row>
    <row r="97" spans="1:16" s="3" customFormat="1" ht="12" x14ac:dyDescent="0.25">
      <c r="A97" s="54" t="s">
        <v>230</v>
      </c>
      <c r="B97" s="86" t="s">
        <v>33</v>
      </c>
      <c r="C97" s="7"/>
      <c r="D97" s="39"/>
      <c r="E97" s="38"/>
      <c r="F97" s="78"/>
      <c r="G97" s="21"/>
      <c r="H97" s="39"/>
      <c r="I97" s="38"/>
      <c r="J97" s="39"/>
      <c r="K97" s="21"/>
      <c r="O97" s="79"/>
      <c r="P97" s="80"/>
    </row>
    <row r="98" spans="1:16" s="106" customFormat="1" ht="12" x14ac:dyDescent="0.25">
      <c r="A98" s="54" t="s">
        <v>230</v>
      </c>
      <c r="B98" s="100" t="s">
        <v>116</v>
      </c>
      <c r="C98" s="101"/>
      <c r="D98" s="102"/>
      <c r="E98" s="103">
        <v>2903.52</v>
      </c>
      <c r="F98" s="104"/>
      <c r="G98" s="105"/>
      <c r="H98" s="102"/>
      <c r="I98" s="103">
        <f>E98</f>
        <v>2903.52</v>
      </c>
      <c r="J98" s="102"/>
      <c r="K98" s="105">
        <f>E98-I98</f>
        <v>0</v>
      </c>
      <c r="O98" s="107"/>
      <c r="P98" s="108"/>
    </row>
    <row r="99" spans="1:16" s="106" customFormat="1" ht="12" x14ac:dyDescent="0.25">
      <c r="A99" s="54" t="s">
        <v>230</v>
      </c>
      <c r="B99" s="100" t="s">
        <v>117</v>
      </c>
      <c r="C99" s="101"/>
      <c r="D99" s="102"/>
      <c r="E99" s="103">
        <f>598.95+598.96+598.96</f>
        <v>1796.8700000000001</v>
      </c>
      <c r="F99" s="104"/>
      <c r="G99" s="105"/>
      <c r="H99" s="102"/>
      <c r="I99" s="103">
        <f t="shared" ref="I99:I162" si="7">E99</f>
        <v>1796.8700000000001</v>
      </c>
      <c r="J99" s="102"/>
      <c r="K99" s="105">
        <f t="shared" ref="K99:K162" si="8">E99-I99</f>
        <v>0</v>
      </c>
      <c r="O99" s="107"/>
      <c r="P99" s="108"/>
    </row>
    <row r="100" spans="1:16" s="106" customFormat="1" ht="12" x14ac:dyDescent="0.25">
      <c r="A100" s="54" t="s">
        <v>230</v>
      </c>
      <c r="B100" s="100" t="s">
        <v>118</v>
      </c>
      <c r="C100" s="101"/>
      <c r="D100" s="102"/>
      <c r="E100" s="103">
        <f>(5523.68*4)+(5523.67*10)</f>
        <v>77331.42</v>
      </c>
      <c r="F100" s="104"/>
      <c r="G100" s="105"/>
      <c r="H100" s="102"/>
      <c r="I100" s="103">
        <f t="shared" si="7"/>
        <v>77331.42</v>
      </c>
      <c r="J100" s="102"/>
      <c r="K100" s="105">
        <f t="shared" si="8"/>
        <v>0</v>
      </c>
      <c r="O100" s="107"/>
      <c r="P100" s="108"/>
    </row>
    <row r="101" spans="1:16" s="106" customFormat="1" ht="12" x14ac:dyDescent="0.25">
      <c r="A101" s="54" t="s">
        <v>230</v>
      </c>
      <c r="B101" s="100" t="s">
        <v>119</v>
      </c>
      <c r="C101" s="101"/>
      <c r="D101" s="102"/>
      <c r="E101" s="103">
        <v>165.27</v>
      </c>
      <c r="F101" s="104"/>
      <c r="G101" s="105"/>
      <c r="H101" s="102"/>
      <c r="I101" s="103">
        <f t="shared" si="7"/>
        <v>165.27</v>
      </c>
      <c r="J101" s="102"/>
      <c r="K101" s="105">
        <f t="shared" si="8"/>
        <v>0</v>
      </c>
      <c r="O101" s="107"/>
      <c r="P101" s="108"/>
    </row>
    <row r="102" spans="1:16" s="106" customFormat="1" ht="12" x14ac:dyDescent="0.25">
      <c r="A102" s="54" t="s">
        <v>230</v>
      </c>
      <c r="B102" s="100" t="s">
        <v>120</v>
      </c>
      <c r="C102" s="101"/>
      <c r="D102" s="102"/>
      <c r="E102" s="103">
        <v>4235.46</v>
      </c>
      <c r="F102" s="104"/>
      <c r="G102" s="105"/>
      <c r="H102" s="102"/>
      <c r="I102" s="103">
        <f t="shared" si="7"/>
        <v>4235.46</v>
      </c>
      <c r="J102" s="102"/>
      <c r="K102" s="105">
        <f t="shared" si="8"/>
        <v>0</v>
      </c>
      <c r="O102" s="107"/>
      <c r="P102" s="108"/>
    </row>
    <row r="103" spans="1:16" s="106" customFormat="1" ht="12" x14ac:dyDescent="0.25">
      <c r="A103" s="54" t="s">
        <v>230</v>
      </c>
      <c r="B103" s="100" t="s">
        <v>121</v>
      </c>
      <c r="C103" s="101"/>
      <c r="D103" s="102"/>
      <c r="E103" s="103">
        <f>921.87+921.88</f>
        <v>1843.75</v>
      </c>
      <c r="F103" s="104"/>
      <c r="G103" s="105"/>
      <c r="H103" s="102"/>
      <c r="I103" s="103">
        <f t="shared" si="7"/>
        <v>1843.75</v>
      </c>
      <c r="J103" s="102"/>
      <c r="K103" s="105">
        <f t="shared" si="8"/>
        <v>0</v>
      </c>
      <c r="O103" s="107"/>
      <c r="P103" s="108"/>
    </row>
    <row r="104" spans="1:16" s="106" customFormat="1" ht="12" x14ac:dyDescent="0.25">
      <c r="A104" s="54" t="s">
        <v>230</v>
      </c>
      <c r="B104" s="100" t="s">
        <v>122</v>
      </c>
      <c r="C104" s="101"/>
      <c r="D104" s="102"/>
      <c r="E104" s="103">
        <v>314.52</v>
      </c>
      <c r="F104" s="104"/>
      <c r="G104" s="105"/>
      <c r="H104" s="102"/>
      <c r="I104" s="103">
        <f t="shared" si="7"/>
        <v>314.52</v>
      </c>
      <c r="J104" s="102"/>
      <c r="K104" s="105">
        <f t="shared" si="8"/>
        <v>0</v>
      </c>
      <c r="O104" s="107"/>
      <c r="P104" s="108"/>
    </row>
    <row r="105" spans="1:16" s="106" customFormat="1" ht="12" x14ac:dyDescent="0.25">
      <c r="A105" s="54" t="s">
        <v>230</v>
      </c>
      <c r="B105" s="100" t="s">
        <v>123</v>
      </c>
      <c r="C105" s="101"/>
      <c r="D105" s="102"/>
      <c r="E105" s="103">
        <v>4389.88</v>
      </c>
      <c r="F105" s="104"/>
      <c r="G105" s="105"/>
      <c r="H105" s="102"/>
      <c r="I105" s="103">
        <f t="shared" si="7"/>
        <v>4389.88</v>
      </c>
      <c r="J105" s="102"/>
      <c r="K105" s="105">
        <f t="shared" si="8"/>
        <v>0</v>
      </c>
      <c r="O105" s="107"/>
      <c r="P105" s="108"/>
    </row>
    <row r="106" spans="1:16" s="106" customFormat="1" ht="12" x14ac:dyDescent="0.25">
      <c r="A106" s="54" t="s">
        <v>230</v>
      </c>
      <c r="B106" s="100" t="s">
        <v>124</v>
      </c>
      <c r="C106" s="101"/>
      <c r="D106" s="102"/>
      <c r="E106" s="103">
        <v>1456.56</v>
      </c>
      <c r="F106" s="104"/>
      <c r="G106" s="105"/>
      <c r="H106" s="102"/>
      <c r="I106" s="103">
        <f t="shared" si="7"/>
        <v>1456.56</v>
      </c>
      <c r="J106" s="102"/>
      <c r="K106" s="105">
        <f t="shared" si="8"/>
        <v>0</v>
      </c>
      <c r="O106" s="107"/>
      <c r="P106" s="108"/>
    </row>
    <row r="107" spans="1:16" s="106" customFormat="1" ht="12" x14ac:dyDescent="0.25">
      <c r="A107" s="54" t="s">
        <v>230</v>
      </c>
      <c r="B107" s="100" t="s">
        <v>125</v>
      </c>
      <c r="C107" s="101"/>
      <c r="D107" s="102"/>
      <c r="E107" s="103">
        <v>390.26</v>
      </c>
      <c r="F107" s="104"/>
      <c r="G107" s="105"/>
      <c r="H107" s="102"/>
      <c r="I107" s="103">
        <f t="shared" si="7"/>
        <v>390.26</v>
      </c>
      <c r="J107" s="102"/>
      <c r="K107" s="105">
        <f t="shared" si="8"/>
        <v>0</v>
      </c>
      <c r="O107" s="107"/>
      <c r="P107" s="108"/>
    </row>
    <row r="108" spans="1:16" s="106" customFormat="1" ht="12" x14ac:dyDescent="0.25">
      <c r="A108" s="54" t="s">
        <v>230</v>
      </c>
      <c r="B108" s="100" t="s">
        <v>126</v>
      </c>
      <c r="C108" s="101"/>
      <c r="D108" s="102"/>
      <c r="E108" s="103">
        <v>202.61</v>
      </c>
      <c r="F108" s="104"/>
      <c r="G108" s="105"/>
      <c r="H108" s="102"/>
      <c r="I108" s="103">
        <f t="shared" si="7"/>
        <v>202.61</v>
      </c>
      <c r="J108" s="102"/>
      <c r="K108" s="105">
        <f t="shared" si="8"/>
        <v>0</v>
      </c>
      <c r="O108" s="107"/>
      <c r="P108" s="108"/>
    </row>
    <row r="109" spans="1:16" s="106" customFormat="1" ht="12" x14ac:dyDescent="0.25">
      <c r="A109" s="54" t="s">
        <v>230</v>
      </c>
      <c r="B109" s="100" t="s">
        <v>127</v>
      </c>
      <c r="C109" s="101"/>
      <c r="D109" s="102"/>
      <c r="E109" s="103">
        <f>1549.37*6</f>
        <v>9296.2199999999993</v>
      </c>
      <c r="F109" s="104"/>
      <c r="G109" s="105"/>
      <c r="H109" s="102"/>
      <c r="I109" s="103">
        <f t="shared" si="7"/>
        <v>9296.2199999999993</v>
      </c>
      <c r="J109" s="102"/>
      <c r="K109" s="105">
        <f t="shared" si="8"/>
        <v>0</v>
      </c>
      <c r="O109" s="107"/>
      <c r="P109" s="108"/>
    </row>
    <row r="110" spans="1:16" s="106" customFormat="1" ht="12" x14ac:dyDescent="0.25">
      <c r="A110" s="54" t="s">
        <v>230</v>
      </c>
      <c r="B110" s="100" t="s">
        <v>128</v>
      </c>
      <c r="C110" s="101"/>
      <c r="D110" s="102"/>
      <c r="E110" s="103">
        <v>2840.51</v>
      </c>
      <c r="F110" s="104"/>
      <c r="G110" s="105"/>
      <c r="H110" s="102"/>
      <c r="I110" s="103">
        <f t="shared" si="7"/>
        <v>2840.51</v>
      </c>
      <c r="J110" s="102"/>
      <c r="K110" s="105">
        <f t="shared" si="8"/>
        <v>0</v>
      </c>
      <c r="O110" s="107"/>
      <c r="P110" s="108"/>
    </row>
    <row r="111" spans="1:16" s="106" customFormat="1" ht="12" x14ac:dyDescent="0.25">
      <c r="A111" s="54" t="s">
        <v>230</v>
      </c>
      <c r="B111" s="100" t="s">
        <v>129</v>
      </c>
      <c r="C111" s="101"/>
      <c r="D111" s="102"/>
      <c r="E111" s="103">
        <v>1807.6</v>
      </c>
      <c r="F111" s="104"/>
      <c r="G111" s="105"/>
      <c r="H111" s="102"/>
      <c r="I111" s="103">
        <f t="shared" si="7"/>
        <v>1807.6</v>
      </c>
      <c r="J111" s="102"/>
      <c r="K111" s="105">
        <f t="shared" si="8"/>
        <v>0</v>
      </c>
      <c r="O111" s="107"/>
      <c r="P111" s="108"/>
    </row>
    <row r="112" spans="1:16" s="106" customFormat="1" ht="12" x14ac:dyDescent="0.25">
      <c r="A112" s="54" t="s">
        <v>230</v>
      </c>
      <c r="B112" s="100" t="s">
        <v>143</v>
      </c>
      <c r="C112" s="101"/>
      <c r="D112" s="102"/>
      <c r="E112" s="103">
        <v>150</v>
      </c>
      <c r="F112" s="104"/>
      <c r="G112" s="105"/>
      <c r="H112" s="102"/>
      <c r="I112" s="103">
        <f t="shared" si="7"/>
        <v>150</v>
      </c>
      <c r="J112" s="102"/>
      <c r="K112" s="105">
        <f t="shared" si="8"/>
        <v>0</v>
      </c>
      <c r="O112" s="107"/>
      <c r="P112" s="108"/>
    </row>
    <row r="113" spans="1:16" s="106" customFormat="1" ht="12" x14ac:dyDescent="0.25">
      <c r="A113" s="54" t="s">
        <v>230</v>
      </c>
      <c r="B113" s="100" t="s">
        <v>130</v>
      </c>
      <c r="C113" s="101"/>
      <c r="D113" s="102"/>
      <c r="E113" s="103">
        <v>1704.31</v>
      </c>
      <c r="F113" s="104"/>
      <c r="G113" s="105"/>
      <c r="H113" s="102"/>
      <c r="I113" s="103">
        <f t="shared" si="7"/>
        <v>1704.31</v>
      </c>
      <c r="J113" s="102"/>
      <c r="K113" s="105">
        <f t="shared" si="8"/>
        <v>0</v>
      </c>
      <c r="O113" s="107"/>
      <c r="P113" s="108"/>
    </row>
    <row r="114" spans="1:16" s="106" customFormat="1" ht="12" x14ac:dyDescent="0.25">
      <c r="A114" s="54" t="s">
        <v>230</v>
      </c>
      <c r="B114" s="100" t="s">
        <v>131</v>
      </c>
      <c r="C114" s="101"/>
      <c r="D114" s="102"/>
      <c r="E114" s="103">
        <f>2065.83*2</f>
        <v>4131.66</v>
      </c>
      <c r="F114" s="104"/>
      <c r="G114" s="105"/>
      <c r="H114" s="102"/>
      <c r="I114" s="103">
        <f t="shared" si="7"/>
        <v>4131.66</v>
      </c>
      <c r="J114" s="102"/>
      <c r="K114" s="105">
        <f t="shared" si="8"/>
        <v>0</v>
      </c>
      <c r="O114" s="107"/>
      <c r="P114" s="108"/>
    </row>
    <row r="115" spans="1:16" s="106" customFormat="1" ht="12" x14ac:dyDescent="0.25">
      <c r="A115" s="54" t="s">
        <v>230</v>
      </c>
      <c r="B115" s="100" t="s">
        <v>132</v>
      </c>
      <c r="C115" s="101"/>
      <c r="D115" s="102"/>
      <c r="E115" s="103">
        <v>4493.18</v>
      </c>
      <c r="F115" s="104"/>
      <c r="G115" s="105"/>
      <c r="H115" s="102"/>
      <c r="I115" s="103">
        <f t="shared" si="7"/>
        <v>4493.18</v>
      </c>
      <c r="J115" s="102"/>
      <c r="K115" s="105">
        <f t="shared" si="8"/>
        <v>0</v>
      </c>
      <c r="O115" s="107"/>
      <c r="P115" s="108"/>
    </row>
    <row r="116" spans="1:16" s="106" customFormat="1" ht="12" x14ac:dyDescent="0.25">
      <c r="A116" s="54" t="s">
        <v>230</v>
      </c>
      <c r="B116" s="100" t="s">
        <v>133</v>
      </c>
      <c r="C116" s="101"/>
      <c r="D116" s="102"/>
      <c r="E116" s="103">
        <v>671.4</v>
      </c>
      <c r="F116" s="104"/>
      <c r="G116" s="105"/>
      <c r="H116" s="102"/>
      <c r="I116" s="103">
        <f t="shared" si="7"/>
        <v>671.4</v>
      </c>
      <c r="J116" s="102"/>
      <c r="K116" s="105">
        <f t="shared" si="8"/>
        <v>0</v>
      </c>
      <c r="O116" s="107"/>
      <c r="P116" s="108"/>
    </row>
    <row r="117" spans="1:16" s="106" customFormat="1" ht="12" x14ac:dyDescent="0.25">
      <c r="A117" s="54" t="s">
        <v>230</v>
      </c>
      <c r="B117" s="100" t="s">
        <v>134</v>
      </c>
      <c r="C117" s="101"/>
      <c r="D117" s="102"/>
      <c r="E117" s="103">
        <v>38734.269999999997</v>
      </c>
      <c r="F117" s="104"/>
      <c r="G117" s="105"/>
      <c r="H117" s="102"/>
      <c r="I117" s="103">
        <f t="shared" si="7"/>
        <v>38734.269999999997</v>
      </c>
      <c r="J117" s="102"/>
      <c r="K117" s="105">
        <f t="shared" si="8"/>
        <v>0</v>
      </c>
      <c r="O117" s="107"/>
      <c r="P117" s="108"/>
    </row>
    <row r="118" spans="1:16" s="106" customFormat="1" ht="12" x14ac:dyDescent="0.25">
      <c r="A118" s="54" t="s">
        <v>230</v>
      </c>
      <c r="B118" s="100" t="s">
        <v>135</v>
      </c>
      <c r="C118" s="101"/>
      <c r="D118" s="102"/>
      <c r="E118" s="103">
        <v>22537.87</v>
      </c>
      <c r="F118" s="104"/>
      <c r="G118" s="105"/>
      <c r="H118" s="102"/>
      <c r="I118" s="103">
        <f t="shared" si="7"/>
        <v>22537.87</v>
      </c>
      <c r="J118" s="102"/>
      <c r="K118" s="105">
        <f t="shared" si="8"/>
        <v>0</v>
      </c>
      <c r="O118" s="107"/>
      <c r="P118" s="108"/>
    </row>
    <row r="119" spans="1:16" s="106" customFormat="1" ht="12" x14ac:dyDescent="0.25">
      <c r="A119" s="54" t="s">
        <v>230</v>
      </c>
      <c r="B119" s="100" t="s">
        <v>136</v>
      </c>
      <c r="C119" s="101"/>
      <c r="D119" s="102"/>
      <c r="E119" s="103">
        <v>1874.12</v>
      </c>
      <c r="F119" s="104"/>
      <c r="G119" s="105"/>
      <c r="H119" s="102"/>
      <c r="I119" s="103">
        <f t="shared" si="7"/>
        <v>1874.12</v>
      </c>
      <c r="J119" s="102"/>
      <c r="K119" s="105">
        <f t="shared" si="8"/>
        <v>0</v>
      </c>
      <c r="O119" s="107"/>
      <c r="P119" s="108"/>
    </row>
    <row r="120" spans="1:16" s="106" customFormat="1" ht="12" x14ac:dyDescent="0.25">
      <c r="A120" s="54" t="s">
        <v>230</v>
      </c>
      <c r="B120" s="100" t="s">
        <v>137</v>
      </c>
      <c r="C120" s="101"/>
      <c r="D120" s="102"/>
      <c r="E120" s="103">
        <f>287+323</f>
        <v>610</v>
      </c>
      <c r="F120" s="104"/>
      <c r="G120" s="105"/>
      <c r="H120" s="102"/>
      <c r="I120" s="103">
        <f t="shared" si="7"/>
        <v>610</v>
      </c>
      <c r="J120" s="102"/>
      <c r="K120" s="105">
        <f t="shared" si="8"/>
        <v>0</v>
      </c>
      <c r="O120" s="107"/>
      <c r="P120" s="108"/>
    </row>
    <row r="121" spans="1:16" s="106" customFormat="1" ht="12" x14ac:dyDescent="0.25">
      <c r="A121" s="54" t="s">
        <v>230</v>
      </c>
      <c r="B121" s="100" t="s">
        <v>138</v>
      </c>
      <c r="C121" s="101"/>
      <c r="D121" s="102"/>
      <c r="E121" s="103">
        <f>3416.5*5</f>
        <v>17082.5</v>
      </c>
      <c r="F121" s="104"/>
      <c r="G121" s="105"/>
      <c r="H121" s="102"/>
      <c r="I121" s="103">
        <f t="shared" si="7"/>
        <v>17082.5</v>
      </c>
      <c r="J121" s="102"/>
      <c r="K121" s="105">
        <f t="shared" si="8"/>
        <v>0</v>
      </c>
      <c r="O121" s="107"/>
      <c r="P121" s="108"/>
    </row>
    <row r="122" spans="1:16" s="106" customFormat="1" ht="12" x14ac:dyDescent="0.25">
      <c r="A122" s="54" t="s">
        <v>230</v>
      </c>
      <c r="B122" s="100" t="s">
        <v>139</v>
      </c>
      <c r="C122" s="101"/>
      <c r="D122" s="102"/>
      <c r="E122" s="103">
        <v>2212.25</v>
      </c>
      <c r="F122" s="104"/>
      <c r="G122" s="105"/>
      <c r="H122" s="102"/>
      <c r="I122" s="103">
        <f t="shared" si="7"/>
        <v>2212.25</v>
      </c>
      <c r="J122" s="102"/>
      <c r="K122" s="105">
        <f t="shared" si="8"/>
        <v>0</v>
      </c>
      <c r="O122" s="107"/>
      <c r="P122" s="108"/>
    </row>
    <row r="123" spans="1:16" s="106" customFormat="1" ht="12" x14ac:dyDescent="0.25">
      <c r="A123" s="54" t="s">
        <v>230</v>
      </c>
      <c r="B123" s="100" t="s">
        <v>140</v>
      </c>
      <c r="C123" s="101"/>
      <c r="D123" s="102"/>
      <c r="E123" s="103">
        <v>77.040000000000006</v>
      </c>
      <c r="F123" s="104"/>
      <c r="G123" s="105"/>
      <c r="H123" s="102"/>
      <c r="I123" s="103">
        <f t="shared" si="7"/>
        <v>77.040000000000006</v>
      </c>
      <c r="J123" s="102"/>
      <c r="K123" s="105">
        <f t="shared" si="8"/>
        <v>0</v>
      </c>
      <c r="O123" s="107"/>
      <c r="P123" s="108"/>
    </row>
    <row r="124" spans="1:16" s="106" customFormat="1" ht="12" x14ac:dyDescent="0.25">
      <c r="A124" s="54" t="s">
        <v>230</v>
      </c>
      <c r="B124" s="100" t="s">
        <v>141</v>
      </c>
      <c r="C124" s="101"/>
      <c r="D124" s="102"/>
      <c r="E124" s="103">
        <v>170</v>
      </c>
      <c r="F124" s="104"/>
      <c r="G124" s="105"/>
      <c r="H124" s="102"/>
      <c r="I124" s="103">
        <f>E124</f>
        <v>170</v>
      </c>
      <c r="J124" s="102"/>
      <c r="K124" s="105">
        <f t="shared" si="8"/>
        <v>0</v>
      </c>
      <c r="O124" s="107"/>
      <c r="P124" s="108"/>
    </row>
    <row r="125" spans="1:16" s="106" customFormat="1" ht="12" x14ac:dyDescent="0.25">
      <c r="A125" s="54" t="s">
        <v>230</v>
      </c>
      <c r="B125" s="100" t="s">
        <v>142</v>
      </c>
      <c r="C125" s="101"/>
      <c r="D125" s="102"/>
      <c r="E125" s="103">
        <v>660</v>
      </c>
      <c r="F125" s="104"/>
      <c r="G125" s="105"/>
      <c r="H125" s="102"/>
      <c r="I125" s="103">
        <f t="shared" si="7"/>
        <v>660</v>
      </c>
      <c r="J125" s="102"/>
      <c r="K125" s="105">
        <f t="shared" si="8"/>
        <v>0</v>
      </c>
      <c r="O125" s="107"/>
      <c r="P125" s="108"/>
    </row>
    <row r="126" spans="1:16" s="106" customFormat="1" ht="12" x14ac:dyDescent="0.25">
      <c r="A126" s="54" t="s">
        <v>230</v>
      </c>
      <c r="B126" s="100" t="s">
        <v>144</v>
      </c>
      <c r="C126" s="101"/>
      <c r="D126" s="102"/>
      <c r="E126" s="103">
        <v>219.24</v>
      </c>
      <c r="F126" s="104"/>
      <c r="G126" s="105"/>
      <c r="H126" s="102"/>
      <c r="I126" s="103">
        <f t="shared" si="7"/>
        <v>219.24</v>
      </c>
      <c r="J126" s="102"/>
      <c r="K126" s="105">
        <f t="shared" si="8"/>
        <v>0</v>
      </c>
      <c r="O126" s="107"/>
      <c r="P126" s="108"/>
    </row>
    <row r="127" spans="1:16" s="106" customFormat="1" ht="12" x14ac:dyDescent="0.25">
      <c r="A127" s="54" t="s">
        <v>230</v>
      </c>
      <c r="B127" s="100" t="s">
        <v>145</v>
      </c>
      <c r="C127" s="101"/>
      <c r="D127" s="102"/>
      <c r="E127" s="103">
        <v>130.76</v>
      </c>
      <c r="F127" s="104"/>
      <c r="G127" s="105"/>
      <c r="H127" s="102"/>
      <c r="I127" s="103">
        <f t="shared" si="7"/>
        <v>130.76</v>
      </c>
      <c r="J127" s="102"/>
      <c r="K127" s="105">
        <f t="shared" si="8"/>
        <v>0</v>
      </c>
      <c r="O127" s="107"/>
      <c r="P127" s="108"/>
    </row>
    <row r="128" spans="1:16" s="106" customFormat="1" ht="12" x14ac:dyDescent="0.25">
      <c r="A128" s="54" t="s">
        <v>230</v>
      </c>
      <c r="B128" s="100" t="s">
        <v>146</v>
      </c>
      <c r="C128" s="101"/>
      <c r="D128" s="102"/>
      <c r="E128" s="103">
        <f>971+971</f>
        <v>1942</v>
      </c>
      <c r="F128" s="104"/>
      <c r="G128" s="105"/>
      <c r="H128" s="102"/>
      <c r="I128" s="103">
        <f t="shared" si="7"/>
        <v>1942</v>
      </c>
      <c r="J128" s="102"/>
      <c r="K128" s="105">
        <f t="shared" si="8"/>
        <v>0</v>
      </c>
      <c r="O128" s="107"/>
      <c r="P128" s="108"/>
    </row>
    <row r="129" spans="1:16" s="106" customFormat="1" ht="12" x14ac:dyDescent="0.25">
      <c r="A129" s="54" t="s">
        <v>230</v>
      </c>
      <c r="B129" s="100" t="s">
        <v>147</v>
      </c>
      <c r="C129" s="101"/>
      <c r="D129" s="102"/>
      <c r="E129" s="103">
        <v>87.06</v>
      </c>
      <c r="F129" s="104"/>
      <c r="G129" s="105"/>
      <c r="H129" s="102"/>
      <c r="I129" s="103">
        <f t="shared" si="7"/>
        <v>87.06</v>
      </c>
      <c r="J129" s="102"/>
      <c r="K129" s="105">
        <f t="shared" si="8"/>
        <v>0</v>
      </c>
      <c r="O129" s="107"/>
      <c r="P129" s="108"/>
    </row>
    <row r="130" spans="1:16" s="106" customFormat="1" ht="12" x14ac:dyDescent="0.25">
      <c r="A130" s="54" t="s">
        <v>230</v>
      </c>
      <c r="B130" s="100" t="s">
        <v>138</v>
      </c>
      <c r="C130" s="101"/>
      <c r="D130" s="102"/>
      <c r="E130" s="103">
        <f>3350*3</f>
        <v>10050</v>
      </c>
      <c r="F130" s="104"/>
      <c r="G130" s="105"/>
      <c r="H130" s="102"/>
      <c r="I130" s="103">
        <f t="shared" si="7"/>
        <v>10050</v>
      </c>
      <c r="J130" s="102"/>
      <c r="K130" s="105">
        <f t="shared" si="8"/>
        <v>0</v>
      </c>
      <c r="O130" s="107"/>
      <c r="P130" s="108"/>
    </row>
    <row r="131" spans="1:16" s="106" customFormat="1" ht="12" x14ac:dyDescent="0.25">
      <c r="A131" s="54" t="s">
        <v>230</v>
      </c>
      <c r="B131" s="100" t="s">
        <v>148</v>
      </c>
      <c r="C131" s="101"/>
      <c r="D131" s="102"/>
      <c r="E131" s="103">
        <v>204.28</v>
      </c>
      <c r="F131" s="104"/>
      <c r="G131" s="105"/>
      <c r="H131" s="102"/>
      <c r="I131" s="103">
        <f t="shared" si="7"/>
        <v>204.28</v>
      </c>
      <c r="J131" s="102"/>
      <c r="K131" s="105">
        <f t="shared" si="8"/>
        <v>0</v>
      </c>
      <c r="O131" s="107"/>
      <c r="P131" s="108"/>
    </row>
    <row r="132" spans="1:16" s="106" customFormat="1" ht="12" x14ac:dyDescent="0.25">
      <c r="A132" s="54" t="s">
        <v>230</v>
      </c>
      <c r="B132" s="100" t="s">
        <v>149</v>
      </c>
      <c r="C132" s="101"/>
      <c r="D132" s="102"/>
      <c r="E132" s="103">
        <v>388.89</v>
      </c>
      <c r="F132" s="104"/>
      <c r="G132" s="105"/>
      <c r="H132" s="102"/>
      <c r="I132" s="103">
        <f t="shared" si="7"/>
        <v>388.89</v>
      </c>
      <c r="J132" s="102"/>
      <c r="K132" s="105">
        <f t="shared" si="8"/>
        <v>0</v>
      </c>
      <c r="O132" s="107"/>
      <c r="P132" s="108"/>
    </row>
    <row r="133" spans="1:16" s="106" customFormat="1" ht="12" x14ac:dyDescent="0.25">
      <c r="A133" s="54" t="s">
        <v>230</v>
      </c>
      <c r="B133" s="100" t="s">
        <v>150</v>
      </c>
      <c r="C133" s="101"/>
      <c r="D133" s="102"/>
      <c r="E133" s="103">
        <f>4900+4900+3700+3700+3700+3700+3700+3700</f>
        <v>32000</v>
      </c>
      <c r="F133" s="104"/>
      <c r="G133" s="105"/>
      <c r="H133" s="102"/>
      <c r="I133" s="103">
        <f t="shared" si="7"/>
        <v>32000</v>
      </c>
      <c r="J133" s="102"/>
      <c r="K133" s="105">
        <f t="shared" si="8"/>
        <v>0</v>
      </c>
      <c r="O133" s="107"/>
      <c r="P133" s="108"/>
    </row>
    <row r="134" spans="1:16" s="106" customFormat="1" ht="12" x14ac:dyDescent="0.25">
      <c r="A134" s="54" t="s">
        <v>230</v>
      </c>
      <c r="B134" s="100" t="s">
        <v>151</v>
      </c>
      <c r="C134" s="101"/>
      <c r="D134" s="102"/>
      <c r="E134" s="103">
        <v>2950</v>
      </c>
      <c r="F134" s="104"/>
      <c r="G134" s="105"/>
      <c r="H134" s="102"/>
      <c r="I134" s="103">
        <f t="shared" si="7"/>
        <v>2950</v>
      </c>
      <c r="J134" s="102"/>
      <c r="K134" s="105">
        <f t="shared" si="8"/>
        <v>0</v>
      </c>
      <c r="O134" s="107"/>
      <c r="P134" s="108"/>
    </row>
    <row r="135" spans="1:16" s="106" customFormat="1" ht="12" x14ac:dyDescent="0.25">
      <c r="A135" s="54" t="s">
        <v>230</v>
      </c>
      <c r="B135" s="100" t="s">
        <v>152</v>
      </c>
      <c r="C135" s="101"/>
      <c r="D135" s="102"/>
      <c r="E135" s="103">
        <v>2058.37</v>
      </c>
      <c r="F135" s="104"/>
      <c r="G135" s="105"/>
      <c r="H135" s="102"/>
      <c r="I135" s="103">
        <f t="shared" si="7"/>
        <v>2058.37</v>
      </c>
      <c r="J135" s="102"/>
      <c r="K135" s="105">
        <f t="shared" si="8"/>
        <v>0</v>
      </c>
      <c r="O135" s="107"/>
      <c r="P135" s="108"/>
    </row>
    <row r="136" spans="1:16" s="106" customFormat="1" ht="12" x14ac:dyDescent="0.25">
      <c r="A136" s="54" t="s">
        <v>230</v>
      </c>
      <c r="B136" s="100" t="s">
        <v>153</v>
      </c>
      <c r="C136" s="101"/>
      <c r="D136" s="102"/>
      <c r="E136" s="103">
        <v>2058.37</v>
      </c>
      <c r="F136" s="104"/>
      <c r="G136" s="105"/>
      <c r="H136" s="102"/>
      <c r="I136" s="103">
        <f t="shared" si="7"/>
        <v>2058.37</v>
      </c>
      <c r="J136" s="102"/>
      <c r="K136" s="105">
        <f t="shared" si="8"/>
        <v>0</v>
      </c>
      <c r="O136" s="107"/>
      <c r="P136" s="108"/>
    </row>
    <row r="137" spans="1:16" s="106" customFormat="1" ht="12" x14ac:dyDescent="0.25">
      <c r="A137" s="54" t="s">
        <v>230</v>
      </c>
      <c r="B137" s="100" t="s">
        <v>154</v>
      </c>
      <c r="C137" s="101"/>
      <c r="D137" s="102"/>
      <c r="E137" s="103">
        <v>7000</v>
      </c>
      <c r="F137" s="104"/>
      <c r="G137" s="105"/>
      <c r="H137" s="102"/>
      <c r="I137" s="103">
        <f t="shared" si="7"/>
        <v>7000</v>
      </c>
      <c r="J137" s="102"/>
      <c r="K137" s="105">
        <f t="shared" si="8"/>
        <v>0</v>
      </c>
      <c r="O137" s="107"/>
      <c r="P137" s="108"/>
    </row>
    <row r="138" spans="1:16" s="106" customFormat="1" ht="12" x14ac:dyDescent="0.25">
      <c r="A138" s="54" t="s">
        <v>230</v>
      </c>
      <c r="B138" s="100" t="s">
        <v>155</v>
      </c>
      <c r="C138" s="101"/>
      <c r="D138" s="102"/>
      <c r="E138" s="103">
        <v>80.180000000000007</v>
      </c>
      <c r="F138" s="104"/>
      <c r="G138" s="105"/>
      <c r="H138" s="102"/>
      <c r="I138" s="103">
        <f t="shared" si="7"/>
        <v>80.180000000000007</v>
      </c>
      <c r="J138" s="102"/>
      <c r="K138" s="105">
        <f t="shared" si="8"/>
        <v>0</v>
      </c>
      <c r="O138" s="107"/>
      <c r="P138" s="108"/>
    </row>
    <row r="139" spans="1:16" s="106" customFormat="1" ht="12" x14ac:dyDescent="0.25">
      <c r="A139" s="54" t="s">
        <v>230</v>
      </c>
      <c r="B139" s="100" t="s">
        <v>156</v>
      </c>
      <c r="C139" s="101"/>
      <c r="D139" s="102"/>
      <c r="E139" s="103">
        <v>602.07000000000005</v>
      </c>
      <c r="F139" s="104"/>
      <c r="G139" s="105"/>
      <c r="H139" s="102"/>
      <c r="I139" s="103">
        <f t="shared" si="7"/>
        <v>602.07000000000005</v>
      </c>
      <c r="J139" s="102"/>
      <c r="K139" s="105">
        <f t="shared" si="8"/>
        <v>0</v>
      </c>
      <c r="O139" s="107"/>
      <c r="P139" s="108"/>
    </row>
    <row r="140" spans="1:16" s="106" customFormat="1" ht="12" x14ac:dyDescent="0.25">
      <c r="A140" s="54" t="s">
        <v>230</v>
      </c>
      <c r="B140" s="100" t="s">
        <v>157</v>
      </c>
      <c r="C140" s="101"/>
      <c r="D140" s="102"/>
      <c r="E140" s="103">
        <v>88.36</v>
      </c>
      <c r="F140" s="104"/>
      <c r="G140" s="105"/>
      <c r="H140" s="102"/>
      <c r="I140" s="103">
        <f t="shared" si="7"/>
        <v>88.36</v>
      </c>
      <c r="J140" s="102"/>
      <c r="K140" s="105">
        <f t="shared" si="8"/>
        <v>0</v>
      </c>
      <c r="O140" s="107"/>
      <c r="P140" s="108"/>
    </row>
    <row r="141" spans="1:16" s="106" customFormat="1" ht="12" x14ac:dyDescent="0.25">
      <c r="A141" s="54" t="s">
        <v>230</v>
      </c>
      <c r="B141" s="100" t="s">
        <v>158</v>
      </c>
      <c r="C141" s="101"/>
      <c r="D141" s="102"/>
      <c r="E141" s="103">
        <v>158.25</v>
      </c>
      <c r="F141" s="104"/>
      <c r="G141" s="105"/>
      <c r="H141" s="102"/>
      <c r="I141" s="103">
        <f t="shared" si="7"/>
        <v>158.25</v>
      </c>
      <c r="J141" s="102"/>
      <c r="K141" s="105">
        <f t="shared" si="8"/>
        <v>0</v>
      </c>
      <c r="O141" s="107"/>
      <c r="P141" s="108"/>
    </row>
    <row r="142" spans="1:16" s="106" customFormat="1" ht="12" x14ac:dyDescent="0.25">
      <c r="A142" s="54" t="s">
        <v>230</v>
      </c>
      <c r="B142" s="100" t="s">
        <v>159</v>
      </c>
      <c r="C142" s="101"/>
      <c r="D142" s="102"/>
      <c r="E142" s="103">
        <v>160</v>
      </c>
      <c r="F142" s="104"/>
      <c r="G142" s="105"/>
      <c r="H142" s="102"/>
      <c r="I142" s="103">
        <f t="shared" si="7"/>
        <v>160</v>
      </c>
      <c r="J142" s="102"/>
      <c r="K142" s="105">
        <f t="shared" si="8"/>
        <v>0</v>
      </c>
      <c r="O142" s="107"/>
      <c r="P142" s="108"/>
    </row>
    <row r="143" spans="1:16" s="106" customFormat="1" ht="12" x14ac:dyDescent="0.25">
      <c r="A143" s="54" t="s">
        <v>230</v>
      </c>
      <c r="B143" s="100" t="s">
        <v>160</v>
      </c>
      <c r="C143" s="101"/>
      <c r="D143" s="102"/>
      <c r="E143" s="103">
        <f>395*2</f>
        <v>790</v>
      </c>
      <c r="F143" s="104"/>
      <c r="G143" s="105"/>
      <c r="H143" s="102"/>
      <c r="I143" s="103">
        <f t="shared" si="7"/>
        <v>790</v>
      </c>
      <c r="J143" s="102"/>
      <c r="K143" s="105">
        <f>E143-I143</f>
        <v>0</v>
      </c>
      <c r="O143" s="107"/>
      <c r="P143" s="108"/>
    </row>
    <row r="144" spans="1:16" s="106" customFormat="1" ht="12" x14ac:dyDescent="0.25">
      <c r="A144" s="54" t="s">
        <v>230</v>
      </c>
      <c r="B144" s="100" t="s">
        <v>161</v>
      </c>
      <c r="C144" s="101"/>
      <c r="D144" s="102"/>
      <c r="E144" s="103">
        <v>1950</v>
      </c>
      <c r="F144" s="104"/>
      <c r="G144" s="105"/>
      <c r="H144" s="102"/>
      <c r="I144" s="103">
        <f t="shared" si="7"/>
        <v>1950</v>
      </c>
      <c r="J144" s="102"/>
      <c r="K144" s="105">
        <f t="shared" si="8"/>
        <v>0</v>
      </c>
      <c r="O144" s="107"/>
      <c r="P144" s="108"/>
    </row>
    <row r="145" spans="1:16" s="106" customFormat="1" ht="12" x14ac:dyDescent="0.25">
      <c r="A145" s="54" t="s">
        <v>230</v>
      </c>
      <c r="B145" s="100" t="s">
        <v>162</v>
      </c>
      <c r="C145" s="101"/>
      <c r="D145" s="102"/>
      <c r="E145" s="103">
        <v>6000</v>
      </c>
      <c r="F145" s="104"/>
      <c r="G145" s="105"/>
      <c r="H145" s="102"/>
      <c r="I145" s="103">
        <f t="shared" si="7"/>
        <v>6000</v>
      </c>
      <c r="J145" s="102"/>
      <c r="K145" s="105">
        <f t="shared" si="8"/>
        <v>0</v>
      </c>
      <c r="O145" s="107"/>
      <c r="P145" s="108"/>
    </row>
    <row r="146" spans="1:16" s="106" customFormat="1" ht="12" x14ac:dyDescent="0.25">
      <c r="A146" s="54" t="s">
        <v>230</v>
      </c>
      <c r="B146" s="100" t="s">
        <v>163</v>
      </c>
      <c r="C146" s="101"/>
      <c r="D146" s="102"/>
      <c r="E146" s="103">
        <v>99</v>
      </c>
      <c r="F146" s="104"/>
      <c r="G146" s="105"/>
      <c r="H146" s="102"/>
      <c r="I146" s="103">
        <f t="shared" si="7"/>
        <v>99</v>
      </c>
      <c r="J146" s="102"/>
      <c r="K146" s="105">
        <f t="shared" si="8"/>
        <v>0</v>
      </c>
      <c r="O146" s="107"/>
      <c r="P146" s="108"/>
    </row>
    <row r="147" spans="1:16" s="106" customFormat="1" ht="12" x14ac:dyDescent="0.25">
      <c r="A147" s="54" t="s">
        <v>230</v>
      </c>
      <c r="B147" s="100" t="s">
        <v>164</v>
      </c>
      <c r="C147" s="101"/>
      <c r="D147" s="102"/>
      <c r="E147" s="103">
        <v>2400</v>
      </c>
      <c r="F147" s="104"/>
      <c r="G147" s="105"/>
      <c r="H147" s="102"/>
      <c r="I147" s="103">
        <f t="shared" si="7"/>
        <v>2400</v>
      </c>
      <c r="J147" s="102"/>
      <c r="K147" s="105">
        <f t="shared" si="8"/>
        <v>0</v>
      </c>
      <c r="O147" s="107"/>
      <c r="P147" s="108"/>
    </row>
    <row r="148" spans="1:16" s="106" customFormat="1" ht="12" x14ac:dyDescent="0.25">
      <c r="A148" s="54" t="s">
        <v>230</v>
      </c>
      <c r="B148" s="100" t="s">
        <v>165</v>
      </c>
      <c r="C148" s="101"/>
      <c r="D148" s="102"/>
      <c r="E148" s="103">
        <v>1000</v>
      </c>
      <c r="F148" s="104"/>
      <c r="G148" s="105"/>
      <c r="H148" s="102"/>
      <c r="I148" s="103">
        <f t="shared" si="7"/>
        <v>1000</v>
      </c>
      <c r="J148" s="102"/>
      <c r="K148" s="105">
        <f t="shared" si="8"/>
        <v>0</v>
      </c>
      <c r="O148" s="107"/>
      <c r="P148" s="108"/>
    </row>
    <row r="149" spans="1:16" s="106" customFormat="1" ht="12" x14ac:dyDescent="0.25">
      <c r="A149" s="54" t="s">
        <v>230</v>
      </c>
      <c r="B149" s="100" t="s">
        <v>166</v>
      </c>
      <c r="C149" s="101"/>
      <c r="D149" s="102"/>
      <c r="E149" s="103">
        <f>380*5</f>
        <v>1900</v>
      </c>
      <c r="F149" s="104"/>
      <c r="G149" s="105"/>
      <c r="H149" s="102"/>
      <c r="I149" s="103">
        <f t="shared" si="7"/>
        <v>1900</v>
      </c>
      <c r="J149" s="102"/>
      <c r="K149" s="105">
        <f t="shared" si="8"/>
        <v>0</v>
      </c>
      <c r="O149" s="107"/>
      <c r="P149" s="108"/>
    </row>
    <row r="150" spans="1:16" s="106" customFormat="1" ht="12" x14ac:dyDescent="0.25">
      <c r="A150" s="54" t="s">
        <v>230</v>
      </c>
      <c r="B150" s="100" t="s">
        <v>167</v>
      </c>
      <c r="C150" s="101"/>
      <c r="D150" s="102"/>
      <c r="E150" s="103">
        <v>986.87</v>
      </c>
      <c r="F150" s="104"/>
      <c r="G150" s="105"/>
      <c r="H150" s="102"/>
      <c r="I150" s="103">
        <f t="shared" si="7"/>
        <v>986.87</v>
      </c>
      <c r="J150" s="102"/>
      <c r="K150" s="105">
        <f t="shared" si="8"/>
        <v>0</v>
      </c>
      <c r="O150" s="107"/>
      <c r="P150" s="108"/>
    </row>
    <row r="151" spans="1:16" s="106" customFormat="1" ht="12" x14ac:dyDescent="0.25">
      <c r="A151" s="54" t="s">
        <v>230</v>
      </c>
      <c r="B151" s="100" t="s">
        <v>168</v>
      </c>
      <c r="C151" s="101"/>
      <c r="D151" s="102"/>
      <c r="E151" s="103">
        <v>1730</v>
      </c>
      <c r="F151" s="104"/>
      <c r="G151" s="105"/>
      <c r="H151" s="102"/>
      <c r="I151" s="103">
        <f t="shared" si="7"/>
        <v>1730</v>
      </c>
      <c r="J151" s="102"/>
      <c r="K151" s="105">
        <f t="shared" si="8"/>
        <v>0</v>
      </c>
      <c r="O151" s="107"/>
      <c r="P151" s="108"/>
    </row>
    <row r="152" spans="1:16" s="106" customFormat="1" ht="12" x14ac:dyDescent="0.25">
      <c r="A152" s="54" t="s">
        <v>230</v>
      </c>
      <c r="B152" s="100" t="s">
        <v>169</v>
      </c>
      <c r="C152" s="101"/>
      <c r="D152" s="102"/>
      <c r="E152" s="103">
        <v>14000</v>
      </c>
      <c r="F152" s="104"/>
      <c r="G152" s="105"/>
      <c r="H152" s="102"/>
      <c r="I152" s="103">
        <f t="shared" si="7"/>
        <v>14000</v>
      </c>
      <c r="J152" s="102"/>
      <c r="K152" s="105">
        <f t="shared" si="8"/>
        <v>0</v>
      </c>
      <c r="O152" s="107"/>
      <c r="P152" s="108"/>
    </row>
    <row r="153" spans="1:16" s="106" customFormat="1" ht="12" x14ac:dyDescent="0.25">
      <c r="A153" s="54" t="s">
        <v>230</v>
      </c>
      <c r="B153" s="100" t="s">
        <v>170</v>
      </c>
      <c r="C153" s="101"/>
      <c r="D153" s="102"/>
      <c r="E153" s="103">
        <v>24771.360000000001</v>
      </c>
      <c r="F153" s="104"/>
      <c r="G153" s="105"/>
      <c r="H153" s="102"/>
      <c r="I153" s="103">
        <f t="shared" si="7"/>
        <v>24771.360000000001</v>
      </c>
      <c r="J153" s="102"/>
      <c r="K153" s="105">
        <f t="shared" si="8"/>
        <v>0</v>
      </c>
      <c r="O153" s="107"/>
      <c r="P153" s="108"/>
    </row>
    <row r="154" spans="1:16" s="106" customFormat="1" ht="12" x14ac:dyDescent="0.25">
      <c r="A154" s="54" t="s">
        <v>230</v>
      </c>
      <c r="B154" s="100" t="s">
        <v>171</v>
      </c>
      <c r="C154" s="101"/>
      <c r="D154" s="102"/>
      <c r="E154" s="103">
        <v>15814.65</v>
      </c>
      <c r="F154" s="104"/>
      <c r="G154" s="105"/>
      <c r="H154" s="102"/>
      <c r="I154" s="103">
        <f t="shared" si="7"/>
        <v>15814.65</v>
      </c>
      <c r="J154" s="102"/>
      <c r="K154" s="105">
        <f t="shared" si="8"/>
        <v>0</v>
      </c>
      <c r="O154" s="107"/>
      <c r="P154" s="108"/>
    </row>
    <row r="155" spans="1:16" s="106" customFormat="1" ht="12" x14ac:dyDescent="0.25">
      <c r="A155" s="54" t="s">
        <v>230</v>
      </c>
      <c r="B155" s="100" t="s">
        <v>172</v>
      </c>
      <c r="C155" s="101"/>
      <c r="D155" s="102"/>
      <c r="E155" s="103">
        <v>3500</v>
      </c>
      <c r="F155" s="104"/>
      <c r="G155" s="105"/>
      <c r="H155" s="102"/>
      <c r="I155" s="103">
        <f t="shared" si="7"/>
        <v>3500</v>
      </c>
      <c r="J155" s="102"/>
      <c r="K155" s="105">
        <f t="shared" si="8"/>
        <v>0</v>
      </c>
      <c r="O155" s="107"/>
      <c r="P155" s="108"/>
    </row>
    <row r="156" spans="1:16" s="106" customFormat="1" ht="12" x14ac:dyDescent="0.25">
      <c r="A156" s="54" t="s">
        <v>230</v>
      </c>
      <c r="B156" s="100" t="s">
        <v>173</v>
      </c>
      <c r="C156" s="101"/>
      <c r="D156" s="102"/>
      <c r="E156" s="103">
        <v>2477.14</v>
      </c>
      <c r="F156" s="104"/>
      <c r="G156" s="105"/>
      <c r="H156" s="102"/>
      <c r="I156" s="103">
        <f t="shared" si="7"/>
        <v>2477.14</v>
      </c>
      <c r="J156" s="102"/>
      <c r="K156" s="105">
        <f t="shared" si="8"/>
        <v>0</v>
      </c>
      <c r="O156" s="107"/>
      <c r="P156" s="108"/>
    </row>
    <row r="157" spans="1:16" s="106" customFormat="1" ht="12" x14ac:dyDescent="0.25">
      <c r="A157" s="54" t="s">
        <v>230</v>
      </c>
      <c r="B157" s="100" t="s">
        <v>174</v>
      </c>
      <c r="C157" s="101"/>
      <c r="D157" s="102"/>
      <c r="E157" s="103">
        <v>45.83</v>
      </c>
      <c r="F157" s="104"/>
      <c r="G157" s="105"/>
      <c r="H157" s="102"/>
      <c r="I157" s="103">
        <f t="shared" si="7"/>
        <v>45.83</v>
      </c>
      <c r="J157" s="102"/>
      <c r="K157" s="105">
        <f t="shared" si="8"/>
        <v>0</v>
      </c>
      <c r="O157" s="107"/>
      <c r="P157" s="108"/>
    </row>
    <row r="158" spans="1:16" s="106" customFormat="1" ht="12" x14ac:dyDescent="0.25">
      <c r="A158" s="54" t="s">
        <v>230</v>
      </c>
      <c r="B158" s="100" t="s">
        <v>175</v>
      </c>
      <c r="C158" s="101"/>
      <c r="D158" s="102"/>
      <c r="E158" s="103">
        <v>32.5</v>
      </c>
      <c r="F158" s="104"/>
      <c r="G158" s="105"/>
      <c r="H158" s="102"/>
      <c r="I158" s="103">
        <f t="shared" si="7"/>
        <v>32.5</v>
      </c>
      <c r="J158" s="102"/>
      <c r="K158" s="105">
        <f t="shared" si="8"/>
        <v>0</v>
      </c>
      <c r="O158" s="107"/>
      <c r="P158" s="108"/>
    </row>
    <row r="159" spans="1:16" s="106" customFormat="1" ht="12" x14ac:dyDescent="0.25">
      <c r="A159" s="54" t="s">
        <v>230</v>
      </c>
      <c r="B159" s="100" t="s">
        <v>176</v>
      </c>
      <c r="C159" s="101"/>
      <c r="D159" s="102"/>
      <c r="E159" s="103">
        <v>329</v>
      </c>
      <c r="F159" s="104"/>
      <c r="G159" s="105"/>
      <c r="H159" s="102"/>
      <c r="I159" s="103">
        <f t="shared" si="7"/>
        <v>329</v>
      </c>
      <c r="J159" s="102"/>
      <c r="K159" s="105">
        <f t="shared" si="8"/>
        <v>0</v>
      </c>
      <c r="O159" s="107"/>
      <c r="P159" s="108"/>
    </row>
    <row r="160" spans="1:16" s="106" customFormat="1" ht="12" x14ac:dyDescent="0.25">
      <c r="A160" s="54" t="s">
        <v>230</v>
      </c>
      <c r="B160" s="100" t="s">
        <v>177</v>
      </c>
      <c r="C160" s="101"/>
      <c r="D160" s="102"/>
      <c r="E160" s="103">
        <v>3446.14</v>
      </c>
      <c r="F160" s="104"/>
      <c r="G160" s="105"/>
      <c r="H160" s="102"/>
      <c r="I160" s="103">
        <f t="shared" si="7"/>
        <v>3446.14</v>
      </c>
      <c r="J160" s="102"/>
      <c r="K160" s="105">
        <f t="shared" si="8"/>
        <v>0</v>
      </c>
      <c r="O160" s="107"/>
      <c r="P160" s="108"/>
    </row>
    <row r="161" spans="1:16" s="106" customFormat="1" ht="12" x14ac:dyDescent="0.25">
      <c r="A161" s="54" t="s">
        <v>230</v>
      </c>
      <c r="B161" s="100" t="s">
        <v>178</v>
      </c>
      <c r="C161" s="101"/>
      <c r="D161" s="102"/>
      <c r="E161" s="103">
        <f>600*10</f>
        <v>6000</v>
      </c>
      <c r="F161" s="104"/>
      <c r="G161" s="105"/>
      <c r="H161" s="102"/>
      <c r="I161" s="103">
        <f t="shared" si="7"/>
        <v>6000</v>
      </c>
      <c r="J161" s="102"/>
      <c r="K161" s="105">
        <f t="shared" si="8"/>
        <v>0</v>
      </c>
      <c r="O161" s="107"/>
      <c r="P161" s="108"/>
    </row>
    <row r="162" spans="1:16" s="106" customFormat="1" ht="12" x14ac:dyDescent="0.25">
      <c r="A162" s="54" t="s">
        <v>230</v>
      </c>
      <c r="B162" s="100" t="s">
        <v>179</v>
      </c>
      <c r="C162" s="101"/>
      <c r="D162" s="102"/>
      <c r="E162" s="103">
        <v>204.76</v>
      </c>
      <c r="F162" s="104"/>
      <c r="G162" s="105"/>
      <c r="H162" s="102"/>
      <c r="I162" s="103">
        <f t="shared" si="7"/>
        <v>204.76</v>
      </c>
      <c r="J162" s="102"/>
      <c r="K162" s="105">
        <f t="shared" si="8"/>
        <v>0</v>
      </c>
      <c r="O162" s="107"/>
      <c r="P162" s="108"/>
    </row>
    <row r="163" spans="1:16" s="106" customFormat="1" ht="12" x14ac:dyDescent="0.25">
      <c r="A163" s="54" t="s">
        <v>230</v>
      </c>
      <c r="B163" s="100" t="s">
        <v>180</v>
      </c>
      <c r="C163" s="101"/>
      <c r="D163" s="102"/>
      <c r="E163" s="103">
        <f>372+418.8</f>
        <v>790.8</v>
      </c>
      <c r="F163" s="104"/>
      <c r="G163" s="105"/>
      <c r="H163" s="102"/>
      <c r="I163" s="103">
        <f t="shared" ref="I163:I169" si="9">E163</f>
        <v>790.8</v>
      </c>
      <c r="J163" s="102"/>
      <c r="K163" s="105">
        <f t="shared" ref="K163:K169" si="10">E163-I163</f>
        <v>0</v>
      </c>
      <c r="O163" s="107"/>
      <c r="P163" s="108"/>
    </row>
    <row r="164" spans="1:16" s="106" customFormat="1" ht="12" x14ac:dyDescent="0.25">
      <c r="A164" s="54" t="s">
        <v>230</v>
      </c>
      <c r="B164" s="100" t="s">
        <v>181</v>
      </c>
      <c r="C164" s="101"/>
      <c r="D164" s="102"/>
      <c r="E164" s="103">
        <f>800+600+600</f>
        <v>2000</v>
      </c>
      <c r="F164" s="104"/>
      <c r="G164" s="105"/>
      <c r="H164" s="102"/>
      <c r="I164" s="103">
        <f t="shared" si="9"/>
        <v>2000</v>
      </c>
      <c r="J164" s="102"/>
      <c r="K164" s="105">
        <f t="shared" si="10"/>
        <v>0</v>
      </c>
      <c r="O164" s="107"/>
      <c r="P164" s="108"/>
    </row>
    <row r="165" spans="1:16" s="106" customFormat="1" ht="12" x14ac:dyDescent="0.25">
      <c r="A165" s="54" t="s">
        <v>230</v>
      </c>
      <c r="B165" s="100" t="s">
        <v>182</v>
      </c>
      <c r="C165" s="101"/>
      <c r="D165" s="102"/>
      <c r="E165" s="103">
        <v>590</v>
      </c>
      <c r="F165" s="104"/>
      <c r="G165" s="105"/>
      <c r="H165" s="102"/>
      <c r="I165" s="103">
        <f t="shared" si="9"/>
        <v>590</v>
      </c>
      <c r="J165" s="102"/>
      <c r="K165" s="105">
        <f t="shared" si="10"/>
        <v>0</v>
      </c>
      <c r="O165" s="107"/>
      <c r="P165" s="108"/>
    </row>
    <row r="166" spans="1:16" s="106" customFormat="1" ht="12" x14ac:dyDescent="0.25">
      <c r="A166" s="54" t="s">
        <v>230</v>
      </c>
      <c r="B166" s="100" t="s">
        <v>183</v>
      </c>
      <c r="C166" s="101"/>
      <c r="D166" s="102"/>
      <c r="E166" s="103">
        <v>65.83</v>
      </c>
      <c r="F166" s="104"/>
      <c r="G166" s="105"/>
      <c r="H166" s="102"/>
      <c r="I166" s="103">
        <f t="shared" si="9"/>
        <v>65.83</v>
      </c>
      <c r="J166" s="102"/>
      <c r="K166" s="105">
        <f t="shared" si="10"/>
        <v>0</v>
      </c>
      <c r="O166" s="107"/>
      <c r="P166" s="108"/>
    </row>
    <row r="167" spans="1:16" s="106" customFormat="1" ht="12" x14ac:dyDescent="0.25">
      <c r="A167" s="54" t="s">
        <v>230</v>
      </c>
      <c r="B167" s="100" t="s">
        <v>184</v>
      </c>
      <c r="C167" s="101"/>
      <c r="D167" s="102"/>
      <c r="E167" s="103">
        <v>1700</v>
      </c>
      <c r="F167" s="104"/>
      <c r="G167" s="105"/>
      <c r="H167" s="102"/>
      <c r="I167" s="103">
        <f t="shared" si="9"/>
        <v>1700</v>
      </c>
      <c r="J167" s="102"/>
      <c r="K167" s="105">
        <f t="shared" si="10"/>
        <v>0</v>
      </c>
      <c r="O167" s="107"/>
      <c r="P167" s="108"/>
    </row>
    <row r="168" spans="1:16" s="106" customFormat="1" ht="12" x14ac:dyDescent="0.25">
      <c r="A168" s="54" t="s">
        <v>230</v>
      </c>
      <c r="B168" s="100" t="s">
        <v>185</v>
      </c>
      <c r="C168" s="101"/>
      <c r="D168" s="102"/>
      <c r="E168" s="103">
        <v>300</v>
      </c>
      <c r="F168" s="104"/>
      <c r="G168" s="105"/>
      <c r="H168" s="102"/>
      <c r="I168" s="103">
        <f t="shared" si="9"/>
        <v>300</v>
      </c>
      <c r="J168" s="102"/>
      <c r="K168" s="105">
        <f t="shared" si="10"/>
        <v>0</v>
      </c>
      <c r="O168" s="107"/>
      <c r="P168" s="108"/>
    </row>
    <row r="169" spans="1:16" s="106" customFormat="1" ht="12" x14ac:dyDescent="0.25">
      <c r="A169" s="54" t="s">
        <v>230</v>
      </c>
      <c r="B169" s="100" t="s">
        <v>186</v>
      </c>
      <c r="C169" s="101"/>
      <c r="D169" s="102"/>
      <c r="E169" s="103">
        <f>420*25</f>
        <v>10500</v>
      </c>
      <c r="F169" s="104"/>
      <c r="G169" s="105"/>
      <c r="H169" s="102"/>
      <c r="I169" s="103">
        <f t="shared" si="9"/>
        <v>10500</v>
      </c>
      <c r="J169" s="102"/>
      <c r="K169" s="105">
        <f t="shared" si="10"/>
        <v>0</v>
      </c>
      <c r="O169" s="107"/>
      <c r="P169" s="108"/>
    </row>
    <row r="170" spans="1:16" s="116" customFormat="1" ht="12" x14ac:dyDescent="0.25">
      <c r="A170" s="54" t="s">
        <v>230</v>
      </c>
      <c r="B170" s="109" t="s">
        <v>34</v>
      </c>
      <c r="C170" s="110"/>
      <c r="D170" s="111"/>
      <c r="E170" s="112">
        <v>205</v>
      </c>
      <c r="F170" s="113"/>
      <c r="G170" s="114"/>
      <c r="H170" s="111"/>
      <c r="I170" s="112">
        <v>205</v>
      </c>
      <c r="J170" s="111"/>
      <c r="K170" s="115">
        <f>E170-I170</f>
        <v>0</v>
      </c>
      <c r="O170" s="117"/>
      <c r="P170" s="118"/>
    </row>
    <row r="171" spans="1:16" s="3" customFormat="1" ht="12" x14ac:dyDescent="0.25">
      <c r="A171" s="54" t="s">
        <v>230</v>
      </c>
      <c r="B171" s="35" t="s">
        <v>35</v>
      </c>
      <c r="C171" s="7"/>
      <c r="D171" s="39"/>
      <c r="E171" s="38">
        <v>1122.5</v>
      </c>
      <c r="F171" s="94">
        <v>0.2</v>
      </c>
      <c r="G171" s="21">
        <v>112.25</v>
      </c>
      <c r="H171" s="39"/>
      <c r="I171" s="38">
        <f>1010.25+G171</f>
        <v>1122.5</v>
      </c>
      <c r="J171" s="39"/>
      <c r="K171" s="21">
        <f t="shared" ref="K171:K181" si="11">E171-I171</f>
        <v>0</v>
      </c>
      <c r="O171" s="79"/>
      <c r="P171" s="80"/>
    </row>
    <row r="172" spans="1:16" s="3" customFormat="1" ht="12" x14ac:dyDescent="0.25">
      <c r="A172" s="54" t="s">
        <v>230</v>
      </c>
      <c r="B172" s="35" t="s">
        <v>36</v>
      </c>
      <c r="C172" s="7"/>
      <c r="D172" s="39"/>
      <c r="E172" s="38">
        <v>160</v>
      </c>
      <c r="F172" s="94">
        <v>0.2</v>
      </c>
      <c r="G172" s="21">
        <v>16</v>
      </c>
      <c r="H172" s="39"/>
      <c r="I172" s="38">
        <f>144+G172</f>
        <v>160</v>
      </c>
      <c r="J172" s="39"/>
      <c r="K172" s="21">
        <f t="shared" si="11"/>
        <v>0</v>
      </c>
      <c r="O172" s="79"/>
      <c r="P172" s="80"/>
    </row>
    <row r="173" spans="1:16" s="3" customFormat="1" ht="12" x14ac:dyDescent="0.25">
      <c r="A173" s="54" t="s">
        <v>230</v>
      </c>
      <c r="B173" s="35" t="s">
        <v>36</v>
      </c>
      <c r="C173" s="7"/>
      <c r="D173" s="39"/>
      <c r="E173" s="38">
        <v>160</v>
      </c>
      <c r="F173" s="94">
        <v>0.2</v>
      </c>
      <c r="G173" s="21">
        <v>16</v>
      </c>
      <c r="H173" s="39"/>
      <c r="I173" s="38">
        <f>144+G173</f>
        <v>160</v>
      </c>
      <c r="J173" s="39"/>
      <c r="K173" s="21">
        <f t="shared" si="11"/>
        <v>0</v>
      </c>
      <c r="O173" s="79"/>
      <c r="P173" s="80"/>
    </row>
    <row r="174" spans="1:16" s="3" customFormat="1" ht="12" x14ac:dyDescent="0.25">
      <c r="A174" s="54" t="s">
        <v>230</v>
      </c>
      <c r="B174" s="35" t="s">
        <v>37</v>
      </c>
      <c r="C174" s="7"/>
      <c r="D174" s="39"/>
      <c r="E174" s="38">
        <v>73.55</v>
      </c>
      <c r="F174" s="94">
        <v>0.2</v>
      </c>
      <c r="G174" s="21">
        <v>7.36</v>
      </c>
      <c r="H174" s="39"/>
      <c r="I174" s="38">
        <f>66.19+7.36</f>
        <v>73.55</v>
      </c>
      <c r="J174" s="39"/>
      <c r="K174" s="21">
        <f t="shared" si="11"/>
        <v>0</v>
      </c>
      <c r="O174" s="79"/>
      <c r="P174" s="80"/>
    </row>
    <row r="175" spans="1:16" s="3" customFormat="1" ht="12" x14ac:dyDescent="0.25">
      <c r="A175" s="54" t="s">
        <v>230</v>
      </c>
      <c r="B175" s="35" t="s">
        <v>38</v>
      </c>
      <c r="C175" s="7"/>
      <c r="D175" s="39"/>
      <c r="E175" s="38">
        <v>230</v>
      </c>
      <c r="F175" s="94">
        <v>0.2</v>
      </c>
      <c r="G175" s="21">
        <v>23</v>
      </c>
      <c r="H175" s="39"/>
      <c r="I175" s="38">
        <f>207+23</f>
        <v>230</v>
      </c>
      <c r="J175" s="39"/>
      <c r="K175" s="21">
        <f t="shared" si="11"/>
        <v>0</v>
      </c>
      <c r="O175" s="79"/>
      <c r="P175" s="80"/>
    </row>
    <row r="176" spans="1:16" s="3" customFormat="1" ht="12" x14ac:dyDescent="0.25">
      <c r="A176" s="54" t="s">
        <v>230</v>
      </c>
      <c r="B176" s="35" t="s">
        <v>39</v>
      </c>
      <c r="C176" s="7"/>
      <c r="D176" s="39"/>
      <c r="E176" s="38">
        <v>26500</v>
      </c>
      <c r="F176" s="94">
        <v>0.2</v>
      </c>
      <c r="G176" s="21">
        <f t="shared" ref="G176:G181" si="12">E176*F176</f>
        <v>5300</v>
      </c>
      <c r="H176" s="39"/>
      <c r="I176" s="38">
        <f>15900+G176+G176</f>
        <v>26500</v>
      </c>
      <c r="J176" s="39"/>
      <c r="K176" s="21">
        <f t="shared" si="11"/>
        <v>0</v>
      </c>
      <c r="O176" s="79"/>
      <c r="P176" s="80"/>
    </row>
    <row r="177" spans="1:16" s="3" customFormat="1" ht="12" x14ac:dyDescent="0.25">
      <c r="A177" s="54" t="s">
        <v>230</v>
      </c>
      <c r="B177" s="35" t="s">
        <v>40</v>
      </c>
      <c r="C177" s="7"/>
      <c r="D177" s="39"/>
      <c r="E177" s="38">
        <v>1483.3</v>
      </c>
      <c r="F177" s="94">
        <v>0.2</v>
      </c>
      <c r="G177" s="21">
        <f t="shared" si="12"/>
        <v>296.66000000000003</v>
      </c>
      <c r="H177" s="39"/>
      <c r="I177" s="38">
        <f>889.98+G177+G177</f>
        <v>1483.3000000000002</v>
      </c>
      <c r="J177" s="39"/>
      <c r="K177" s="21">
        <f t="shared" si="11"/>
        <v>0</v>
      </c>
      <c r="O177" s="79"/>
      <c r="P177" s="80"/>
    </row>
    <row r="178" spans="1:16" s="3" customFormat="1" ht="12" x14ac:dyDescent="0.25">
      <c r="A178" s="54" t="s">
        <v>230</v>
      </c>
      <c r="B178" s="35" t="s">
        <v>43</v>
      </c>
      <c r="C178" s="7"/>
      <c r="D178" s="39"/>
      <c r="E178" s="38">
        <v>688</v>
      </c>
      <c r="F178" s="94">
        <v>0.2</v>
      </c>
      <c r="G178" s="21">
        <f t="shared" si="12"/>
        <v>137.6</v>
      </c>
      <c r="H178" s="39"/>
      <c r="I178" s="38">
        <f>412.8+G178+G178</f>
        <v>688</v>
      </c>
      <c r="J178" s="39"/>
      <c r="K178" s="21">
        <f t="shared" si="11"/>
        <v>0</v>
      </c>
      <c r="O178" s="79"/>
      <c r="P178" s="80"/>
    </row>
    <row r="179" spans="1:16" s="3" customFormat="1" ht="12" x14ac:dyDescent="0.25">
      <c r="A179" s="54" t="s">
        <v>230</v>
      </c>
      <c r="B179" s="35" t="s">
        <v>41</v>
      </c>
      <c r="C179" s="7"/>
      <c r="D179" s="39"/>
      <c r="E179" s="38">
        <v>350</v>
      </c>
      <c r="F179" s="94">
        <v>0.2</v>
      </c>
      <c r="G179" s="21">
        <f t="shared" si="12"/>
        <v>70</v>
      </c>
      <c r="H179" s="39"/>
      <c r="I179" s="38">
        <f>140+G179+G179</f>
        <v>280</v>
      </c>
      <c r="J179" s="39"/>
      <c r="K179" s="21">
        <f t="shared" si="11"/>
        <v>70</v>
      </c>
      <c r="O179" s="79"/>
      <c r="P179" s="80"/>
    </row>
    <row r="180" spans="1:16" s="3" customFormat="1" ht="12" x14ac:dyDescent="0.25">
      <c r="A180" s="54" t="s">
        <v>230</v>
      </c>
      <c r="B180" s="35" t="s">
        <v>42</v>
      </c>
      <c r="C180" s="7"/>
      <c r="D180" s="39"/>
      <c r="E180" s="38">
        <v>682.89</v>
      </c>
      <c r="F180" s="94">
        <v>0.2</v>
      </c>
      <c r="G180" s="21">
        <f t="shared" si="12"/>
        <v>136.578</v>
      </c>
      <c r="H180" s="39"/>
      <c r="I180" s="38">
        <f>136.57+G180+G180</f>
        <v>409.726</v>
      </c>
      <c r="J180" s="39"/>
      <c r="K180" s="21">
        <f>E180-I180</f>
        <v>273.16399999999999</v>
      </c>
      <c r="O180" s="79"/>
      <c r="P180" s="80"/>
    </row>
    <row r="181" spans="1:16" s="3" customFormat="1" ht="12" x14ac:dyDescent="0.25">
      <c r="A181" s="54" t="s">
        <v>230</v>
      </c>
      <c r="B181" s="35" t="s">
        <v>44</v>
      </c>
      <c r="C181" s="7"/>
      <c r="D181" s="39"/>
      <c r="E181" s="38">
        <v>1600</v>
      </c>
      <c r="F181" s="94">
        <v>0.2</v>
      </c>
      <c r="G181" s="21">
        <f t="shared" si="12"/>
        <v>320</v>
      </c>
      <c r="H181" s="39"/>
      <c r="I181" s="38">
        <f>320+G181</f>
        <v>640</v>
      </c>
      <c r="J181" s="39"/>
      <c r="K181" s="21">
        <f t="shared" si="11"/>
        <v>960</v>
      </c>
      <c r="O181" s="79"/>
      <c r="P181" s="80"/>
    </row>
    <row r="182" spans="1:16" s="14" customFormat="1" ht="12" x14ac:dyDescent="0.25">
      <c r="A182" s="82"/>
      <c r="B182" s="95" t="s">
        <v>28</v>
      </c>
      <c r="C182" s="15"/>
      <c r="D182" s="45"/>
      <c r="E182" s="44">
        <f>SUM(E98:E181)</f>
        <v>400940.00000000006</v>
      </c>
      <c r="F182" s="84"/>
      <c r="G182" s="24">
        <f>SUM(G170:G181)</f>
        <v>6435.4480000000003</v>
      </c>
      <c r="H182" s="45"/>
      <c r="I182" s="44">
        <f>SUM(I98:I181)</f>
        <v>399636.83600000007</v>
      </c>
      <c r="J182" s="45"/>
      <c r="K182" s="24">
        <f>SUM(K98:K181)</f>
        <v>1303.164</v>
      </c>
      <c r="M182" s="81"/>
      <c r="N182" s="81"/>
      <c r="O182" s="85"/>
      <c r="P182" s="81"/>
    </row>
    <row r="183" spans="1:16" s="3" customFormat="1" ht="12" x14ac:dyDescent="0.25">
      <c r="A183" s="54"/>
      <c r="B183" s="35"/>
      <c r="C183" s="7"/>
      <c r="D183" s="39"/>
      <c r="E183" s="38"/>
      <c r="F183" s="78"/>
      <c r="G183" s="21"/>
      <c r="H183" s="39"/>
      <c r="I183" s="38"/>
      <c r="J183" s="39"/>
      <c r="K183" s="21"/>
      <c r="O183" s="79"/>
      <c r="P183" s="80"/>
    </row>
    <row r="184" spans="1:16" s="3" customFormat="1" ht="12" x14ac:dyDescent="0.25">
      <c r="A184" s="54"/>
      <c r="B184" s="86" t="s">
        <v>45</v>
      </c>
      <c r="C184" s="7"/>
      <c r="D184" s="39"/>
      <c r="E184" s="38"/>
      <c r="F184" s="78"/>
      <c r="G184" s="21"/>
      <c r="H184" s="39"/>
      <c r="I184" s="38"/>
      <c r="J184" s="39"/>
      <c r="K184" s="21"/>
      <c r="O184" s="79"/>
      <c r="P184" s="80"/>
    </row>
    <row r="185" spans="1:16" s="3" customFormat="1" ht="12" x14ac:dyDescent="0.25">
      <c r="A185" s="54" t="s">
        <v>230</v>
      </c>
      <c r="B185" s="35" t="s">
        <v>187</v>
      </c>
      <c r="C185" s="7"/>
      <c r="D185" s="39"/>
      <c r="E185" s="38">
        <v>79.53</v>
      </c>
      <c r="F185" s="78"/>
      <c r="G185" s="21"/>
      <c r="H185" s="39"/>
      <c r="I185" s="38">
        <f>E185</f>
        <v>79.53</v>
      </c>
      <c r="J185" s="39"/>
      <c r="K185" s="21">
        <f>E185-I185</f>
        <v>0</v>
      </c>
      <c r="O185" s="79"/>
      <c r="P185" s="80"/>
    </row>
    <row r="186" spans="1:16" s="3" customFormat="1" ht="12" x14ac:dyDescent="0.25">
      <c r="A186" s="54" t="s">
        <v>230</v>
      </c>
      <c r="B186" s="35" t="s">
        <v>188</v>
      </c>
      <c r="C186" s="7"/>
      <c r="D186" s="39"/>
      <c r="E186" s="38">
        <v>67.86</v>
      </c>
      <c r="F186" s="78"/>
      <c r="G186" s="21"/>
      <c r="H186" s="39"/>
      <c r="I186" s="38">
        <f t="shared" ref="I186:I200" si="13">E186</f>
        <v>67.86</v>
      </c>
      <c r="J186" s="39"/>
      <c r="K186" s="21">
        <f t="shared" ref="K186:K200" si="14">E186-I186</f>
        <v>0</v>
      </c>
      <c r="O186" s="79"/>
      <c r="P186" s="80"/>
    </row>
    <row r="187" spans="1:16" s="3" customFormat="1" ht="12" x14ac:dyDescent="0.25">
      <c r="A187" s="54" t="s">
        <v>230</v>
      </c>
      <c r="B187" s="35" t="s">
        <v>189</v>
      </c>
      <c r="C187" s="7"/>
      <c r="D187" s="39"/>
      <c r="E187" s="38">
        <v>158.55000000000001</v>
      </c>
      <c r="F187" s="78"/>
      <c r="G187" s="21"/>
      <c r="H187" s="39"/>
      <c r="I187" s="38">
        <f t="shared" si="13"/>
        <v>158.55000000000001</v>
      </c>
      <c r="J187" s="39"/>
      <c r="K187" s="21">
        <f t="shared" si="14"/>
        <v>0</v>
      </c>
      <c r="O187" s="79"/>
      <c r="P187" s="80"/>
    </row>
    <row r="188" spans="1:16" s="3" customFormat="1" ht="12" x14ac:dyDescent="0.25">
      <c r="A188" s="54" t="s">
        <v>230</v>
      </c>
      <c r="B188" s="35" t="s">
        <v>190</v>
      </c>
      <c r="C188" s="7"/>
      <c r="D188" s="39"/>
      <c r="E188" s="38">
        <v>942.77</v>
      </c>
      <c r="F188" s="78"/>
      <c r="G188" s="21"/>
      <c r="H188" s="39"/>
      <c r="I188" s="38">
        <f t="shared" si="13"/>
        <v>942.77</v>
      </c>
      <c r="J188" s="39"/>
      <c r="K188" s="21">
        <f t="shared" si="14"/>
        <v>0</v>
      </c>
      <c r="O188" s="79"/>
      <c r="P188" s="80"/>
    </row>
    <row r="189" spans="1:16" s="3" customFormat="1" ht="12" x14ac:dyDescent="0.25">
      <c r="A189" s="54" t="s">
        <v>230</v>
      </c>
      <c r="B189" s="35" t="s">
        <v>191</v>
      </c>
      <c r="C189" s="7"/>
      <c r="D189" s="39"/>
      <c r="E189" s="38">
        <v>323.24</v>
      </c>
      <c r="F189" s="78"/>
      <c r="G189" s="21"/>
      <c r="H189" s="39"/>
      <c r="I189" s="38">
        <f t="shared" si="13"/>
        <v>323.24</v>
      </c>
      <c r="J189" s="39"/>
      <c r="K189" s="21">
        <f t="shared" si="14"/>
        <v>0</v>
      </c>
      <c r="O189" s="79"/>
      <c r="P189" s="80"/>
    </row>
    <row r="190" spans="1:16" s="3" customFormat="1" ht="12" x14ac:dyDescent="0.25">
      <c r="A190" s="54" t="s">
        <v>230</v>
      </c>
      <c r="B190" s="35" t="s">
        <v>192</v>
      </c>
      <c r="C190" s="7"/>
      <c r="D190" s="39"/>
      <c r="E190" s="38">
        <v>85.32</v>
      </c>
      <c r="F190" s="78"/>
      <c r="G190" s="21"/>
      <c r="H190" s="39"/>
      <c r="I190" s="38">
        <f t="shared" si="13"/>
        <v>85.32</v>
      </c>
      <c r="J190" s="39"/>
      <c r="K190" s="21">
        <f t="shared" si="14"/>
        <v>0</v>
      </c>
      <c r="O190" s="79"/>
      <c r="P190" s="80"/>
    </row>
    <row r="191" spans="1:16" s="3" customFormat="1" ht="12" x14ac:dyDescent="0.25">
      <c r="A191" s="54" t="s">
        <v>230</v>
      </c>
      <c r="B191" s="35" t="s">
        <v>193</v>
      </c>
      <c r="C191" s="7"/>
      <c r="D191" s="39"/>
      <c r="E191" s="38">
        <v>1083.81</v>
      </c>
      <c r="F191" s="78"/>
      <c r="G191" s="21"/>
      <c r="H191" s="39"/>
      <c r="I191" s="38">
        <f t="shared" si="13"/>
        <v>1083.81</v>
      </c>
      <c r="J191" s="39"/>
      <c r="K191" s="21">
        <f t="shared" si="14"/>
        <v>0</v>
      </c>
      <c r="O191" s="79"/>
      <c r="P191" s="80"/>
    </row>
    <row r="192" spans="1:16" s="3" customFormat="1" ht="12" x14ac:dyDescent="0.25">
      <c r="A192" s="54" t="s">
        <v>230</v>
      </c>
      <c r="B192" s="35" t="s">
        <v>194</v>
      </c>
      <c r="C192" s="7"/>
      <c r="D192" s="39"/>
      <c r="E192" s="38">
        <v>921.1</v>
      </c>
      <c r="F192" s="78"/>
      <c r="G192" s="21"/>
      <c r="H192" s="39"/>
      <c r="I192" s="38">
        <f t="shared" si="13"/>
        <v>921.1</v>
      </c>
      <c r="J192" s="39"/>
      <c r="K192" s="21">
        <f t="shared" si="14"/>
        <v>0</v>
      </c>
      <c r="O192" s="79"/>
      <c r="P192" s="80"/>
    </row>
    <row r="193" spans="1:16" s="3" customFormat="1" ht="12" x14ac:dyDescent="0.25">
      <c r="A193" s="54" t="s">
        <v>230</v>
      </c>
      <c r="B193" s="35" t="s">
        <v>195</v>
      </c>
      <c r="C193" s="7"/>
      <c r="D193" s="39"/>
      <c r="E193" s="38">
        <v>826.33</v>
      </c>
      <c r="F193" s="78"/>
      <c r="G193" s="21"/>
      <c r="H193" s="39"/>
      <c r="I193" s="38">
        <f t="shared" si="13"/>
        <v>826.33</v>
      </c>
      <c r="J193" s="39"/>
      <c r="K193" s="21">
        <f t="shared" si="14"/>
        <v>0</v>
      </c>
      <c r="O193" s="79"/>
      <c r="P193" s="80"/>
    </row>
    <row r="194" spans="1:16" s="3" customFormat="1" ht="12" x14ac:dyDescent="0.25">
      <c r="A194" s="54" t="s">
        <v>230</v>
      </c>
      <c r="B194" s="35" t="s">
        <v>196</v>
      </c>
      <c r="C194" s="7"/>
      <c r="D194" s="39"/>
      <c r="E194" s="38">
        <v>12555.07</v>
      </c>
      <c r="F194" s="78"/>
      <c r="G194" s="21"/>
      <c r="H194" s="39"/>
      <c r="I194" s="38">
        <f t="shared" si="13"/>
        <v>12555.07</v>
      </c>
      <c r="J194" s="39"/>
      <c r="K194" s="21">
        <f t="shared" si="14"/>
        <v>0</v>
      </c>
      <c r="O194" s="79"/>
      <c r="P194" s="80"/>
    </row>
    <row r="195" spans="1:16" s="3" customFormat="1" ht="12" x14ac:dyDescent="0.25">
      <c r="A195" s="54" t="s">
        <v>230</v>
      </c>
      <c r="B195" s="35" t="s">
        <v>197</v>
      </c>
      <c r="C195" s="7"/>
      <c r="D195" s="39"/>
      <c r="E195" s="38">
        <v>219.07</v>
      </c>
      <c r="F195" s="78"/>
      <c r="G195" s="21"/>
      <c r="H195" s="39"/>
      <c r="I195" s="38">
        <f t="shared" si="13"/>
        <v>219.07</v>
      </c>
      <c r="J195" s="39"/>
      <c r="K195" s="21">
        <f t="shared" si="14"/>
        <v>0</v>
      </c>
      <c r="O195" s="79"/>
      <c r="P195" s="80"/>
    </row>
    <row r="196" spans="1:16" s="3" customFormat="1" ht="12" x14ac:dyDescent="0.25">
      <c r="A196" s="54" t="s">
        <v>230</v>
      </c>
      <c r="B196" s="35" t="s">
        <v>198</v>
      </c>
      <c r="C196" s="7"/>
      <c r="D196" s="39"/>
      <c r="E196" s="38">
        <v>469.11</v>
      </c>
      <c r="F196" s="78"/>
      <c r="G196" s="21"/>
      <c r="H196" s="39"/>
      <c r="I196" s="38">
        <f t="shared" si="13"/>
        <v>469.11</v>
      </c>
      <c r="J196" s="39"/>
      <c r="K196" s="21">
        <f t="shared" si="14"/>
        <v>0</v>
      </c>
      <c r="O196" s="79"/>
      <c r="P196" s="80"/>
    </row>
    <row r="197" spans="1:16" s="3" customFormat="1" ht="12" x14ac:dyDescent="0.25">
      <c r="A197" s="54" t="s">
        <v>230</v>
      </c>
      <c r="B197" s="35" t="s">
        <v>199</v>
      </c>
      <c r="C197" s="7"/>
      <c r="D197" s="39"/>
      <c r="E197" s="38">
        <v>775.1</v>
      </c>
      <c r="F197" s="78"/>
      <c r="G197" s="21"/>
      <c r="H197" s="39"/>
      <c r="I197" s="38">
        <f t="shared" si="13"/>
        <v>775.1</v>
      </c>
      <c r="J197" s="39"/>
      <c r="K197" s="21">
        <f t="shared" si="14"/>
        <v>0</v>
      </c>
      <c r="O197" s="79"/>
      <c r="P197" s="80"/>
    </row>
    <row r="198" spans="1:16" s="3" customFormat="1" ht="12" x14ac:dyDescent="0.25">
      <c r="A198" s="54" t="s">
        <v>230</v>
      </c>
      <c r="B198" s="35" t="s">
        <v>200</v>
      </c>
      <c r="C198" s="7"/>
      <c r="D198" s="39"/>
      <c r="E198" s="38">
        <v>189.95</v>
      </c>
      <c r="F198" s="78"/>
      <c r="G198" s="21"/>
      <c r="H198" s="39"/>
      <c r="I198" s="38">
        <f t="shared" si="13"/>
        <v>189.95</v>
      </c>
      <c r="J198" s="39"/>
      <c r="K198" s="21">
        <f t="shared" si="14"/>
        <v>0</v>
      </c>
      <c r="O198" s="79"/>
      <c r="P198" s="80"/>
    </row>
    <row r="199" spans="1:16" s="3" customFormat="1" ht="12" x14ac:dyDescent="0.25">
      <c r="A199" s="54" t="s">
        <v>230</v>
      </c>
      <c r="B199" s="35" t="s">
        <v>201</v>
      </c>
      <c r="C199" s="7"/>
      <c r="D199" s="39"/>
      <c r="E199" s="38">
        <v>116.19</v>
      </c>
      <c r="F199" s="78"/>
      <c r="G199" s="21"/>
      <c r="H199" s="39"/>
      <c r="I199" s="38">
        <f t="shared" si="13"/>
        <v>116.19</v>
      </c>
      <c r="J199" s="39"/>
      <c r="K199" s="21">
        <f t="shared" si="14"/>
        <v>0</v>
      </c>
      <c r="O199" s="79"/>
      <c r="P199" s="80"/>
    </row>
    <row r="200" spans="1:16" s="3" customFormat="1" ht="12" x14ac:dyDescent="0.25">
      <c r="A200" s="54" t="s">
        <v>230</v>
      </c>
      <c r="B200" s="35" t="s">
        <v>202</v>
      </c>
      <c r="C200" s="7"/>
      <c r="D200" s="39"/>
      <c r="E200" s="38">
        <v>1483.33</v>
      </c>
      <c r="F200" s="78"/>
      <c r="G200" s="21"/>
      <c r="H200" s="39"/>
      <c r="I200" s="38">
        <f t="shared" si="13"/>
        <v>1483.33</v>
      </c>
      <c r="J200" s="39"/>
      <c r="K200" s="21">
        <f t="shared" si="14"/>
        <v>0</v>
      </c>
      <c r="O200" s="79"/>
      <c r="P200" s="80"/>
    </row>
    <row r="201" spans="1:16" s="3" customFormat="1" ht="12" x14ac:dyDescent="0.25">
      <c r="A201" s="54" t="s">
        <v>230</v>
      </c>
      <c r="B201" s="35" t="s">
        <v>46</v>
      </c>
      <c r="C201" s="7"/>
      <c r="D201" s="39"/>
      <c r="E201" s="38">
        <v>5500</v>
      </c>
      <c r="F201" s="78"/>
      <c r="G201" s="21"/>
      <c r="H201" s="39"/>
      <c r="I201" s="38">
        <v>5500</v>
      </c>
      <c r="J201" s="39"/>
      <c r="K201" s="21">
        <f t="shared" ref="K201:K204" si="15">E201-I201</f>
        <v>0</v>
      </c>
      <c r="O201" s="79"/>
      <c r="P201" s="80"/>
    </row>
    <row r="202" spans="1:16" s="3" customFormat="1" ht="12" x14ac:dyDescent="0.25">
      <c r="A202" s="54" t="s">
        <v>230</v>
      </c>
      <c r="B202" s="35" t="s">
        <v>47</v>
      </c>
      <c r="C202" s="7"/>
      <c r="D202" s="39"/>
      <c r="E202" s="38">
        <v>215.83</v>
      </c>
      <c r="F202" s="78">
        <v>0.12</v>
      </c>
      <c r="G202" s="21">
        <v>21.65</v>
      </c>
      <c r="H202" s="39"/>
      <c r="I202" s="38">
        <f>194.18+21.65</f>
        <v>215.83</v>
      </c>
      <c r="J202" s="39"/>
      <c r="K202" s="21">
        <f>E202-I202</f>
        <v>0</v>
      </c>
      <c r="O202" s="79"/>
      <c r="P202" s="80"/>
    </row>
    <row r="203" spans="1:16" s="3" customFormat="1" ht="12" x14ac:dyDescent="0.25">
      <c r="A203" s="54" t="s">
        <v>230</v>
      </c>
      <c r="B203" s="35" t="s">
        <v>48</v>
      </c>
      <c r="C203" s="7"/>
      <c r="D203" s="39"/>
      <c r="E203" s="38">
        <v>52.9</v>
      </c>
      <c r="F203" s="78">
        <v>0.12</v>
      </c>
      <c r="G203" s="21">
        <f t="shared" ref="G203:G205" si="16">E203*F203</f>
        <v>6.3479999999999999</v>
      </c>
      <c r="H203" s="39"/>
      <c r="I203" s="38">
        <f>28.53+G203+G203</f>
        <v>41.225999999999999</v>
      </c>
      <c r="J203" s="39"/>
      <c r="K203" s="21">
        <f t="shared" si="15"/>
        <v>11.673999999999999</v>
      </c>
      <c r="O203" s="79"/>
      <c r="P203" s="80"/>
    </row>
    <row r="204" spans="1:16" s="3" customFormat="1" ht="12" x14ac:dyDescent="0.25">
      <c r="A204" s="54" t="s">
        <v>230</v>
      </c>
      <c r="B204" s="35" t="s">
        <v>49</v>
      </c>
      <c r="C204" s="7"/>
      <c r="D204" s="39"/>
      <c r="E204" s="38">
        <v>1400</v>
      </c>
      <c r="F204" s="78">
        <v>0.12</v>
      </c>
      <c r="G204" s="21">
        <f t="shared" si="16"/>
        <v>168</v>
      </c>
      <c r="H204" s="39"/>
      <c r="I204" s="38">
        <f>168+G204+G204</f>
        <v>504</v>
      </c>
      <c r="J204" s="39"/>
      <c r="K204" s="21">
        <f t="shared" si="15"/>
        <v>896</v>
      </c>
      <c r="O204" s="79"/>
      <c r="P204" s="80"/>
    </row>
    <row r="205" spans="1:16" s="3" customFormat="1" ht="12" x14ac:dyDescent="0.25">
      <c r="A205" s="54" t="s">
        <v>230</v>
      </c>
      <c r="B205" s="35" t="s">
        <v>232</v>
      </c>
      <c r="C205" s="7">
        <v>2017</v>
      </c>
      <c r="D205" s="39">
        <v>737</v>
      </c>
      <c r="E205" s="38">
        <v>737</v>
      </c>
      <c r="F205" s="78">
        <v>0.12</v>
      </c>
      <c r="G205" s="21">
        <f t="shared" si="16"/>
        <v>88.44</v>
      </c>
      <c r="H205" s="39"/>
      <c r="I205" s="38">
        <f>88.44</f>
        <v>88.44</v>
      </c>
      <c r="J205" s="39"/>
      <c r="K205" s="21">
        <f>E205-I205</f>
        <v>648.55999999999995</v>
      </c>
      <c r="O205" s="79"/>
      <c r="P205" s="80"/>
    </row>
    <row r="206" spans="1:16" s="14" customFormat="1" ht="12" x14ac:dyDescent="0.25">
      <c r="A206" s="82"/>
      <c r="B206" s="95" t="s">
        <v>28</v>
      </c>
      <c r="C206" s="15"/>
      <c r="D206" s="45">
        <v>737</v>
      </c>
      <c r="E206" s="44">
        <f>SUM(E185:E205)</f>
        <v>28202.060000000005</v>
      </c>
      <c r="F206" s="84"/>
      <c r="G206" s="24">
        <f>SUM(G201:G205)</f>
        <v>284.43799999999999</v>
      </c>
      <c r="H206" s="45"/>
      <c r="I206" s="44">
        <f>SUM(I185:I205)</f>
        <v>26645.826000000001</v>
      </c>
      <c r="J206" s="45"/>
      <c r="K206" s="24">
        <f>SUM(K201:K205)</f>
        <v>1556.2339999999999</v>
      </c>
      <c r="M206" s="81"/>
      <c r="O206" s="85"/>
      <c r="P206" s="81"/>
    </row>
    <row r="207" spans="1:16" s="3" customFormat="1" ht="12" x14ac:dyDescent="0.25">
      <c r="A207" s="54"/>
      <c r="B207" s="35"/>
      <c r="C207" s="7"/>
      <c r="D207" s="39"/>
      <c r="E207" s="38"/>
      <c r="F207" s="78"/>
      <c r="G207" s="21"/>
      <c r="H207" s="39"/>
      <c r="I207" s="38"/>
      <c r="J207" s="39"/>
      <c r="K207" s="21"/>
      <c r="O207" s="79"/>
      <c r="P207" s="80"/>
    </row>
    <row r="208" spans="1:16" s="3" customFormat="1" ht="12" x14ac:dyDescent="0.25">
      <c r="A208" s="54"/>
      <c r="B208" s="86" t="s">
        <v>50</v>
      </c>
      <c r="C208" s="7"/>
      <c r="D208" s="39"/>
      <c r="E208" s="38"/>
      <c r="F208" s="78"/>
      <c r="G208" s="21"/>
      <c r="H208" s="39"/>
      <c r="I208" s="38"/>
      <c r="J208" s="39"/>
      <c r="K208" s="21"/>
      <c r="O208" s="79"/>
      <c r="P208" s="80"/>
    </row>
    <row r="209" spans="1:16" s="3" customFormat="1" ht="12" x14ac:dyDescent="0.25">
      <c r="A209" s="54" t="s">
        <v>230</v>
      </c>
      <c r="B209" s="35" t="s">
        <v>203</v>
      </c>
      <c r="C209" s="7"/>
      <c r="D209" s="39"/>
      <c r="E209" s="38">
        <v>77.47</v>
      </c>
      <c r="F209" s="78"/>
      <c r="G209" s="21"/>
      <c r="H209" s="39"/>
      <c r="I209" s="38">
        <f>E209</f>
        <v>77.47</v>
      </c>
      <c r="J209" s="39"/>
      <c r="K209" s="21">
        <f>E209-I209</f>
        <v>0</v>
      </c>
      <c r="O209" s="79"/>
      <c r="P209" s="80"/>
    </row>
    <row r="210" spans="1:16" s="3" customFormat="1" ht="12" x14ac:dyDescent="0.25">
      <c r="A210" s="54" t="s">
        <v>230</v>
      </c>
      <c r="B210" s="35" t="s">
        <v>204</v>
      </c>
      <c r="C210" s="7"/>
      <c r="D210" s="39"/>
      <c r="E210" s="38">
        <v>723.04</v>
      </c>
      <c r="F210" s="78"/>
      <c r="G210" s="21"/>
      <c r="H210" s="39"/>
      <c r="I210" s="38">
        <f t="shared" ref="I210:I228" si="17">E210</f>
        <v>723.04</v>
      </c>
      <c r="J210" s="39"/>
      <c r="K210" s="21">
        <f t="shared" ref="K210:K228" si="18">E210-I210</f>
        <v>0</v>
      </c>
      <c r="O210" s="79"/>
      <c r="P210" s="80"/>
    </row>
    <row r="211" spans="1:16" s="3" customFormat="1" ht="12" x14ac:dyDescent="0.25">
      <c r="A211" s="54" t="s">
        <v>230</v>
      </c>
      <c r="B211" s="35" t="s">
        <v>205</v>
      </c>
      <c r="C211" s="7"/>
      <c r="D211" s="39"/>
      <c r="E211" s="38">
        <v>4648.1099999999997</v>
      </c>
      <c r="F211" s="78"/>
      <c r="G211" s="21"/>
      <c r="H211" s="39"/>
      <c r="I211" s="38">
        <f t="shared" si="17"/>
        <v>4648.1099999999997</v>
      </c>
      <c r="J211" s="39"/>
      <c r="K211" s="21">
        <f t="shared" si="18"/>
        <v>0</v>
      </c>
      <c r="O211" s="79"/>
      <c r="P211" s="80"/>
    </row>
    <row r="212" spans="1:16" s="3" customFormat="1" ht="12" x14ac:dyDescent="0.25">
      <c r="A212" s="54" t="s">
        <v>230</v>
      </c>
      <c r="B212" s="35" t="s">
        <v>206</v>
      </c>
      <c r="C212" s="7"/>
      <c r="D212" s="39"/>
      <c r="E212" s="38">
        <v>1523.55</v>
      </c>
      <c r="F212" s="78"/>
      <c r="G212" s="21"/>
      <c r="H212" s="39"/>
      <c r="I212" s="38">
        <f t="shared" si="17"/>
        <v>1523.55</v>
      </c>
      <c r="J212" s="39"/>
      <c r="K212" s="21">
        <f t="shared" si="18"/>
        <v>0</v>
      </c>
      <c r="O212" s="79"/>
      <c r="P212" s="80"/>
    </row>
    <row r="213" spans="1:16" s="3" customFormat="1" ht="12" x14ac:dyDescent="0.25">
      <c r="A213" s="54" t="s">
        <v>230</v>
      </c>
      <c r="B213" s="35" t="s">
        <v>207</v>
      </c>
      <c r="C213" s="7"/>
      <c r="D213" s="39"/>
      <c r="E213" s="38">
        <v>619.75</v>
      </c>
      <c r="F213" s="78"/>
      <c r="G213" s="21"/>
      <c r="H213" s="39"/>
      <c r="I213" s="38">
        <f t="shared" si="17"/>
        <v>619.75</v>
      </c>
      <c r="J213" s="39"/>
      <c r="K213" s="21">
        <f t="shared" si="18"/>
        <v>0</v>
      </c>
      <c r="O213" s="79"/>
      <c r="P213" s="80"/>
    </row>
    <row r="214" spans="1:16" s="3" customFormat="1" ht="12" x14ac:dyDescent="0.25">
      <c r="A214" s="54" t="s">
        <v>230</v>
      </c>
      <c r="B214" s="35" t="s">
        <v>208</v>
      </c>
      <c r="C214" s="7"/>
      <c r="D214" s="39"/>
      <c r="E214" s="38">
        <v>950.28</v>
      </c>
      <c r="F214" s="78"/>
      <c r="G214" s="21"/>
      <c r="H214" s="39"/>
      <c r="I214" s="38">
        <f t="shared" si="17"/>
        <v>950.28</v>
      </c>
      <c r="J214" s="39"/>
      <c r="K214" s="21">
        <f t="shared" si="18"/>
        <v>0</v>
      </c>
      <c r="O214" s="79"/>
      <c r="P214" s="80"/>
    </row>
    <row r="215" spans="1:16" s="3" customFormat="1" ht="12" x14ac:dyDescent="0.25">
      <c r="A215" s="54" t="s">
        <v>230</v>
      </c>
      <c r="B215" s="35" t="s">
        <v>209</v>
      </c>
      <c r="C215" s="7"/>
      <c r="D215" s="39"/>
      <c r="E215" s="38">
        <v>495.79</v>
      </c>
      <c r="F215" s="78"/>
      <c r="G215" s="21"/>
      <c r="H215" s="39"/>
      <c r="I215" s="38">
        <f t="shared" si="17"/>
        <v>495.79</v>
      </c>
      <c r="J215" s="39"/>
      <c r="K215" s="21">
        <f t="shared" si="18"/>
        <v>0</v>
      </c>
      <c r="O215" s="79"/>
      <c r="P215" s="80"/>
    </row>
    <row r="216" spans="1:16" s="3" customFormat="1" ht="12" x14ac:dyDescent="0.25">
      <c r="A216" s="54" t="s">
        <v>230</v>
      </c>
      <c r="B216" s="35" t="s">
        <v>210</v>
      </c>
      <c r="C216" s="7"/>
      <c r="D216" s="39"/>
      <c r="E216" s="38">
        <v>24111.66</v>
      </c>
      <c r="F216" s="78"/>
      <c r="G216" s="21"/>
      <c r="H216" s="39"/>
      <c r="I216" s="38">
        <f t="shared" si="17"/>
        <v>24111.66</v>
      </c>
      <c r="J216" s="39"/>
      <c r="K216" s="21">
        <f t="shared" si="18"/>
        <v>0</v>
      </c>
      <c r="O216" s="79"/>
      <c r="P216" s="80"/>
    </row>
    <row r="217" spans="1:16" s="3" customFormat="1" ht="12" x14ac:dyDescent="0.25">
      <c r="A217" s="54" t="s">
        <v>230</v>
      </c>
      <c r="B217" s="35" t="s">
        <v>211</v>
      </c>
      <c r="C217" s="7"/>
      <c r="D217" s="39"/>
      <c r="E217" s="38">
        <v>178.57</v>
      </c>
      <c r="F217" s="78"/>
      <c r="G217" s="21"/>
      <c r="H217" s="39"/>
      <c r="I217" s="38">
        <f t="shared" si="17"/>
        <v>178.57</v>
      </c>
      <c r="J217" s="39"/>
      <c r="K217" s="21">
        <f t="shared" si="18"/>
        <v>0</v>
      </c>
      <c r="O217" s="79"/>
      <c r="P217" s="80"/>
    </row>
    <row r="218" spans="1:16" s="3" customFormat="1" ht="12" x14ac:dyDescent="0.25">
      <c r="A218" s="54" t="s">
        <v>230</v>
      </c>
      <c r="B218" s="35" t="s">
        <v>212</v>
      </c>
      <c r="C218" s="7"/>
      <c r="D218" s="39"/>
      <c r="E218" s="38">
        <v>1510</v>
      </c>
      <c r="F218" s="78"/>
      <c r="G218" s="21"/>
      <c r="H218" s="39"/>
      <c r="I218" s="38">
        <f t="shared" si="17"/>
        <v>1510</v>
      </c>
      <c r="J218" s="39"/>
      <c r="K218" s="21">
        <f t="shared" si="18"/>
        <v>0</v>
      </c>
      <c r="O218" s="79"/>
      <c r="P218" s="80"/>
    </row>
    <row r="219" spans="1:16" s="3" customFormat="1" ht="12" x14ac:dyDescent="0.25">
      <c r="A219" s="54" t="s">
        <v>230</v>
      </c>
      <c r="B219" s="35" t="s">
        <v>213</v>
      </c>
      <c r="C219" s="7"/>
      <c r="D219" s="39"/>
      <c r="E219" s="38">
        <v>420</v>
      </c>
      <c r="F219" s="78"/>
      <c r="G219" s="21"/>
      <c r="H219" s="39"/>
      <c r="I219" s="38">
        <f t="shared" si="17"/>
        <v>420</v>
      </c>
      <c r="J219" s="39"/>
      <c r="K219" s="21">
        <f t="shared" si="18"/>
        <v>0</v>
      </c>
      <c r="O219" s="79"/>
      <c r="P219" s="80"/>
    </row>
    <row r="220" spans="1:16" s="3" customFormat="1" ht="12" x14ac:dyDescent="0.25">
      <c r="A220" s="54" t="s">
        <v>230</v>
      </c>
      <c r="B220" s="35" t="s">
        <v>214</v>
      </c>
      <c r="C220" s="7"/>
      <c r="D220" s="39"/>
      <c r="E220" s="38">
        <v>825</v>
      </c>
      <c r="F220" s="78"/>
      <c r="G220" s="21"/>
      <c r="H220" s="39"/>
      <c r="I220" s="38">
        <f t="shared" si="17"/>
        <v>825</v>
      </c>
      <c r="J220" s="39"/>
      <c r="K220" s="21">
        <f t="shared" si="18"/>
        <v>0</v>
      </c>
      <c r="O220" s="79"/>
      <c r="P220" s="80"/>
    </row>
    <row r="221" spans="1:16" s="3" customFormat="1" ht="12" x14ac:dyDescent="0.25">
      <c r="A221" s="54" t="s">
        <v>230</v>
      </c>
      <c r="B221" s="35" t="s">
        <v>215</v>
      </c>
      <c r="C221" s="7"/>
      <c r="D221" s="39"/>
      <c r="E221" s="38">
        <v>430</v>
      </c>
      <c r="F221" s="78"/>
      <c r="G221" s="21"/>
      <c r="H221" s="39"/>
      <c r="I221" s="38">
        <f t="shared" si="17"/>
        <v>430</v>
      </c>
      <c r="J221" s="39"/>
      <c r="K221" s="21">
        <f t="shared" si="18"/>
        <v>0</v>
      </c>
      <c r="O221" s="79"/>
      <c r="P221" s="80"/>
    </row>
    <row r="222" spans="1:16" s="3" customFormat="1" ht="12" x14ac:dyDescent="0.25">
      <c r="A222" s="54" t="s">
        <v>230</v>
      </c>
      <c r="B222" s="35" t="s">
        <v>216</v>
      </c>
      <c r="C222" s="7"/>
      <c r="D222" s="39"/>
      <c r="E222" s="38">
        <v>98</v>
      </c>
      <c r="F222" s="78"/>
      <c r="G222" s="21"/>
      <c r="H222" s="39"/>
      <c r="I222" s="38">
        <f t="shared" si="17"/>
        <v>98</v>
      </c>
      <c r="J222" s="39"/>
      <c r="K222" s="21">
        <f t="shared" si="18"/>
        <v>0</v>
      </c>
      <c r="O222" s="79"/>
      <c r="P222" s="80"/>
    </row>
    <row r="223" spans="1:16" s="3" customFormat="1" ht="12" x14ac:dyDescent="0.25">
      <c r="A223" s="54" t="s">
        <v>230</v>
      </c>
      <c r="B223" s="35" t="s">
        <v>217</v>
      </c>
      <c r="C223" s="7"/>
      <c r="D223" s="39"/>
      <c r="E223" s="38">
        <v>495</v>
      </c>
      <c r="F223" s="78"/>
      <c r="G223" s="21"/>
      <c r="H223" s="39"/>
      <c r="I223" s="38">
        <f t="shared" si="17"/>
        <v>495</v>
      </c>
      <c r="J223" s="39"/>
      <c r="K223" s="21">
        <f t="shared" si="18"/>
        <v>0</v>
      </c>
      <c r="O223" s="79"/>
      <c r="P223" s="80"/>
    </row>
    <row r="224" spans="1:16" s="3" customFormat="1" ht="12" x14ac:dyDescent="0.25">
      <c r="A224" s="54" t="s">
        <v>230</v>
      </c>
      <c r="B224" s="35" t="s">
        <v>218</v>
      </c>
      <c r="C224" s="7"/>
      <c r="D224" s="39"/>
      <c r="E224" s="38">
        <v>12.48</v>
      </c>
      <c r="F224" s="78"/>
      <c r="G224" s="21"/>
      <c r="H224" s="39"/>
      <c r="I224" s="38">
        <f t="shared" si="17"/>
        <v>12.48</v>
      </c>
      <c r="J224" s="39"/>
      <c r="K224" s="21">
        <f t="shared" si="18"/>
        <v>0</v>
      </c>
      <c r="O224" s="79"/>
      <c r="P224" s="80"/>
    </row>
    <row r="225" spans="1:16" s="3" customFormat="1" ht="12" x14ac:dyDescent="0.25">
      <c r="A225" s="54" t="s">
        <v>230</v>
      </c>
      <c r="B225" s="35" t="s">
        <v>219</v>
      </c>
      <c r="C225" s="7"/>
      <c r="D225" s="39"/>
      <c r="E225" s="38">
        <v>390</v>
      </c>
      <c r="F225" s="78"/>
      <c r="G225" s="21"/>
      <c r="H225" s="39"/>
      <c r="I225" s="38">
        <f t="shared" si="17"/>
        <v>390</v>
      </c>
      <c r="J225" s="39"/>
      <c r="K225" s="21">
        <f t="shared" si="18"/>
        <v>0</v>
      </c>
      <c r="O225" s="79"/>
      <c r="P225" s="80"/>
    </row>
    <row r="226" spans="1:16" s="3" customFormat="1" ht="12" x14ac:dyDescent="0.25">
      <c r="A226" s="54" t="s">
        <v>230</v>
      </c>
      <c r="B226" s="35" t="s">
        <v>220</v>
      </c>
      <c r="C226" s="7"/>
      <c r="D226" s="39"/>
      <c r="E226" s="38">
        <v>108.33</v>
      </c>
      <c r="F226" s="78"/>
      <c r="G226" s="21"/>
      <c r="H226" s="39"/>
      <c r="I226" s="38">
        <f t="shared" si="17"/>
        <v>108.33</v>
      </c>
      <c r="J226" s="39"/>
      <c r="K226" s="21">
        <f t="shared" si="18"/>
        <v>0</v>
      </c>
      <c r="O226" s="79"/>
      <c r="P226" s="80"/>
    </row>
    <row r="227" spans="1:16" s="3" customFormat="1" ht="12" x14ac:dyDescent="0.25">
      <c r="A227" s="54" t="s">
        <v>230</v>
      </c>
      <c r="B227" s="35" t="s">
        <v>221</v>
      </c>
      <c r="C227" s="7"/>
      <c r="D227" s="39"/>
      <c r="E227" s="38">
        <v>118.33</v>
      </c>
      <c r="F227" s="78"/>
      <c r="G227" s="21"/>
      <c r="H227" s="39"/>
      <c r="I227" s="38">
        <f t="shared" si="17"/>
        <v>118.33</v>
      </c>
      <c r="J227" s="39"/>
      <c r="K227" s="21">
        <f t="shared" si="18"/>
        <v>0</v>
      </c>
      <c r="O227" s="79"/>
      <c r="P227" s="80"/>
    </row>
    <row r="228" spans="1:16" s="3" customFormat="1" ht="12" x14ac:dyDescent="0.25">
      <c r="A228" s="54" t="s">
        <v>230</v>
      </c>
      <c r="B228" s="35" t="s">
        <v>222</v>
      </c>
      <c r="C228" s="7"/>
      <c r="D228" s="39"/>
      <c r="E228" s="38">
        <v>454</v>
      </c>
      <c r="F228" s="78"/>
      <c r="G228" s="21"/>
      <c r="H228" s="39"/>
      <c r="I228" s="38">
        <f t="shared" si="17"/>
        <v>454</v>
      </c>
      <c r="J228" s="39"/>
      <c r="K228" s="21">
        <f t="shared" si="18"/>
        <v>0</v>
      </c>
      <c r="O228" s="79"/>
      <c r="P228" s="80"/>
    </row>
    <row r="229" spans="1:16" s="3" customFormat="1" ht="12" x14ac:dyDescent="0.25">
      <c r="A229" s="54" t="s">
        <v>230</v>
      </c>
      <c r="B229" s="35" t="s">
        <v>51</v>
      </c>
      <c r="C229" s="7"/>
      <c r="D229" s="39"/>
      <c r="E229" s="38">
        <v>850</v>
      </c>
      <c r="F229" s="78">
        <v>0.2</v>
      </c>
      <c r="G229" s="21">
        <v>93.5</v>
      </c>
      <c r="H229" s="39"/>
      <c r="I229" s="38">
        <f>756.5+93.5</f>
        <v>850</v>
      </c>
      <c r="J229" s="39"/>
      <c r="K229" s="21">
        <f t="shared" ref="K229:K234" si="19">E229-I229</f>
        <v>0</v>
      </c>
      <c r="O229" s="79"/>
      <c r="P229" s="80"/>
    </row>
    <row r="230" spans="1:16" s="3" customFormat="1" ht="12" x14ac:dyDescent="0.25">
      <c r="A230" s="54" t="s">
        <v>230</v>
      </c>
      <c r="B230" s="35" t="s">
        <v>52</v>
      </c>
      <c r="C230" s="7"/>
      <c r="D230" s="39"/>
      <c r="E230" s="38">
        <v>850</v>
      </c>
      <c r="F230" s="78">
        <v>0.2</v>
      </c>
      <c r="G230" s="21">
        <v>93.5</v>
      </c>
      <c r="H230" s="39"/>
      <c r="I230" s="38">
        <f>756.5+93.5</f>
        <v>850</v>
      </c>
      <c r="J230" s="39"/>
      <c r="K230" s="21">
        <f t="shared" si="19"/>
        <v>0</v>
      </c>
      <c r="O230" s="79"/>
      <c r="P230" s="80"/>
    </row>
    <row r="231" spans="1:16" s="3" customFormat="1" ht="12" x14ac:dyDescent="0.25">
      <c r="A231" s="54" t="s">
        <v>230</v>
      </c>
      <c r="B231" s="35" t="s">
        <v>53</v>
      </c>
      <c r="C231" s="7"/>
      <c r="D231" s="39"/>
      <c r="E231" s="38">
        <v>1887</v>
      </c>
      <c r="F231" s="78">
        <v>0.2</v>
      </c>
      <c r="G231" s="21">
        <v>207.57</v>
      </c>
      <c r="H231" s="39"/>
      <c r="I231" s="38">
        <f>1679.43+207.57</f>
        <v>1887</v>
      </c>
      <c r="J231" s="39"/>
      <c r="K231" s="21">
        <f t="shared" si="19"/>
        <v>0</v>
      </c>
      <c r="O231" s="79"/>
      <c r="P231" s="80"/>
    </row>
    <row r="232" spans="1:16" s="3" customFormat="1" ht="12" x14ac:dyDescent="0.25">
      <c r="A232" s="54" t="s">
        <v>230</v>
      </c>
      <c r="B232" s="35" t="s">
        <v>54</v>
      </c>
      <c r="C232" s="7"/>
      <c r="D232" s="39"/>
      <c r="E232" s="38">
        <v>209</v>
      </c>
      <c r="F232" s="78">
        <v>0.2</v>
      </c>
      <c r="G232" s="21">
        <v>22.99</v>
      </c>
      <c r="H232" s="39"/>
      <c r="I232" s="38">
        <f>186.01+22.99</f>
        <v>209</v>
      </c>
      <c r="J232" s="39"/>
      <c r="K232" s="21">
        <f t="shared" si="19"/>
        <v>0</v>
      </c>
      <c r="O232" s="79"/>
      <c r="P232" s="80"/>
    </row>
    <row r="233" spans="1:16" s="3" customFormat="1" ht="12" x14ac:dyDescent="0.25">
      <c r="A233" s="54" t="s">
        <v>230</v>
      </c>
      <c r="B233" s="35" t="s">
        <v>55</v>
      </c>
      <c r="C233" s="7"/>
      <c r="D233" s="39"/>
      <c r="E233" s="38">
        <v>219</v>
      </c>
      <c r="F233" s="78">
        <v>0.2</v>
      </c>
      <c r="G233" s="21">
        <v>24.09</v>
      </c>
      <c r="H233" s="39"/>
      <c r="I233" s="38">
        <f>194.91+24.09</f>
        <v>219</v>
      </c>
      <c r="J233" s="39"/>
      <c r="K233" s="21">
        <f t="shared" si="19"/>
        <v>0</v>
      </c>
      <c r="O233" s="79"/>
      <c r="P233" s="80"/>
    </row>
    <row r="234" spans="1:16" s="3" customFormat="1" ht="12" x14ac:dyDescent="0.25">
      <c r="A234" s="54" t="s">
        <v>230</v>
      </c>
      <c r="B234" s="35" t="s">
        <v>56</v>
      </c>
      <c r="C234" s="7"/>
      <c r="D234" s="39"/>
      <c r="E234" s="38">
        <v>252</v>
      </c>
      <c r="F234" s="78">
        <v>0.2</v>
      </c>
      <c r="G234" s="21">
        <f t="shared" ref="G234" si="20">E234*F234</f>
        <v>50.400000000000006</v>
      </c>
      <c r="H234" s="39"/>
      <c r="I234" s="38">
        <f>100.8+G234+G234</f>
        <v>201.6</v>
      </c>
      <c r="J234" s="39"/>
      <c r="K234" s="21">
        <f t="shared" si="19"/>
        <v>50.400000000000006</v>
      </c>
    </row>
    <row r="235" spans="1:16" s="14" customFormat="1" ht="12" x14ac:dyDescent="0.25">
      <c r="A235" s="82"/>
      <c r="B235" s="95" t="s">
        <v>28</v>
      </c>
      <c r="C235" s="15"/>
      <c r="D235" s="26"/>
      <c r="E235" s="24">
        <f>SUM(E209:E234)</f>
        <v>42456.360000000008</v>
      </c>
      <c r="F235" s="24"/>
      <c r="G235" s="24">
        <f>SUM(G229:G234)</f>
        <v>492.04999999999995</v>
      </c>
      <c r="H235" s="24"/>
      <c r="I235" s="24">
        <f>SUM(I209:I234)</f>
        <v>42405.960000000006</v>
      </c>
      <c r="J235" s="24"/>
      <c r="K235" s="24">
        <f>SUM(K229:K234)</f>
        <v>50.400000000000006</v>
      </c>
      <c r="M235" s="81"/>
      <c r="O235" s="81"/>
    </row>
    <row r="236" spans="1:16" s="3" customFormat="1" ht="12" x14ac:dyDescent="0.25">
      <c r="A236" s="54"/>
      <c r="B236" s="5"/>
      <c r="C236" s="47"/>
      <c r="D236" s="48"/>
      <c r="E236" s="53"/>
      <c r="F236" s="50"/>
      <c r="G236" s="51"/>
      <c r="H236" s="52"/>
      <c r="I236" s="53"/>
      <c r="J236" s="49"/>
      <c r="K236" s="53"/>
    </row>
    <row r="237" spans="1:16" s="37" customFormat="1" ht="12" x14ac:dyDescent="0.25">
      <c r="A237" s="54"/>
      <c r="B237" s="86" t="s">
        <v>57</v>
      </c>
      <c r="C237" s="4"/>
      <c r="D237" s="38"/>
      <c r="E237" s="40"/>
      <c r="F237" s="30"/>
      <c r="G237" s="38"/>
      <c r="H237" s="36"/>
      <c r="I237" s="39"/>
      <c r="J237" s="38"/>
      <c r="K237" s="41"/>
    </row>
    <row r="238" spans="1:16" s="3" customFormat="1" ht="12" x14ac:dyDescent="0.25">
      <c r="A238" s="54" t="s">
        <v>230</v>
      </c>
      <c r="B238" s="35" t="s">
        <v>58</v>
      </c>
      <c r="C238" s="4"/>
      <c r="D238" s="38"/>
      <c r="E238" s="39">
        <v>5028.7</v>
      </c>
      <c r="F238" s="78"/>
      <c r="G238" s="38"/>
      <c r="H238" s="21"/>
      <c r="I238" s="39">
        <v>5028.7</v>
      </c>
      <c r="J238" s="21"/>
      <c r="K238" s="41">
        <f>E238-I238</f>
        <v>0</v>
      </c>
    </row>
    <row r="239" spans="1:16" s="14" customFormat="1" ht="12" x14ac:dyDescent="0.25">
      <c r="A239" s="82"/>
      <c r="B239" s="95" t="s">
        <v>28</v>
      </c>
      <c r="C239" s="15"/>
      <c r="D239" s="26"/>
      <c r="E239" s="24">
        <f>SUM(E238)</f>
        <v>5028.7</v>
      </c>
      <c r="F239" s="24"/>
      <c r="G239" s="24"/>
      <c r="H239" s="24"/>
      <c r="I239" s="24">
        <f>SUM(I238)</f>
        <v>5028.7</v>
      </c>
      <c r="J239" s="24"/>
      <c r="K239" s="24">
        <f>SUM(K238)</f>
        <v>0</v>
      </c>
      <c r="O239" s="81"/>
    </row>
    <row r="240" spans="1:16" s="42" customFormat="1" ht="12" x14ac:dyDescent="0.25">
      <c r="A240" s="54"/>
      <c r="B240" s="35"/>
      <c r="C240" s="4"/>
      <c r="D240" s="38"/>
      <c r="E240" s="39"/>
      <c r="F240" s="30"/>
      <c r="G240" s="38"/>
      <c r="H240" s="38"/>
      <c r="I240" s="39"/>
      <c r="J240" s="38"/>
      <c r="K240" s="41"/>
    </row>
    <row r="241" spans="1:11" s="42" customFormat="1" ht="12" x14ac:dyDescent="0.25">
      <c r="A241" s="54"/>
      <c r="B241" s="35"/>
      <c r="C241" s="4"/>
      <c r="D241" s="38"/>
      <c r="E241" s="39"/>
      <c r="F241" s="30"/>
      <c r="G241" s="38"/>
      <c r="H241" s="38"/>
      <c r="I241" s="39"/>
      <c r="J241" s="38"/>
      <c r="K241" s="41"/>
    </row>
    <row r="242" spans="1:11" s="42" customFormat="1" ht="12" x14ac:dyDescent="0.25">
      <c r="A242" s="54"/>
      <c r="B242" s="35"/>
      <c r="C242" s="4"/>
      <c r="D242" s="38"/>
      <c r="E242" s="39"/>
      <c r="F242" s="30"/>
      <c r="G242" s="38"/>
      <c r="H242" s="38"/>
      <c r="I242" s="39"/>
      <c r="J242" s="38"/>
      <c r="K242" s="41"/>
    </row>
    <row r="243" spans="1:11" s="42" customFormat="1" ht="12" x14ac:dyDescent="0.25">
      <c r="A243" s="54"/>
      <c r="B243" s="35"/>
      <c r="C243" s="4"/>
      <c r="D243" s="38"/>
      <c r="E243" s="39"/>
      <c r="F243" s="30"/>
      <c r="G243" s="43"/>
      <c r="H243" s="38"/>
      <c r="I243" s="39"/>
      <c r="J243" s="38"/>
      <c r="K243" s="41"/>
    </row>
    <row r="244" spans="1:11" s="42" customFormat="1" ht="12" x14ac:dyDescent="0.25">
      <c r="A244" s="54"/>
      <c r="B244" s="35"/>
      <c r="C244" s="4"/>
      <c r="D244" s="38"/>
      <c r="E244" s="39"/>
      <c r="F244" s="30"/>
      <c r="G244" s="43"/>
      <c r="H244" s="38"/>
      <c r="I244" s="39"/>
      <c r="J244" s="38"/>
      <c r="K244" s="41"/>
    </row>
    <row r="245" spans="1:11" s="42" customFormat="1" ht="12" x14ac:dyDescent="0.25">
      <c r="A245" s="54"/>
      <c r="B245" s="35"/>
      <c r="C245" s="4"/>
      <c r="D245" s="38"/>
      <c r="E245" s="39"/>
      <c r="F245" s="30"/>
      <c r="G245" s="43"/>
      <c r="H245" s="38"/>
      <c r="I245" s="39"/>
      <c r="J245" s="38"/>
      <c r="K245" s="41"/>
    </row>
    <row r="246" spans="1:11" s="42" customFormat="1" ht="12" x14ac:dyDescent="0.25">
      <c r="A246" s="34"/>
      <c r="B246" s="7"/>
      <c r="C246" s="4"/>
      <c r="D246" s="38"/>
      <c r="E246" s="39"/>
      <c r="F246" s="30"/>
      <c r="G246" s="43"/>
      <c r="H246" s="38"/>
      <c r="I246" s="39"/>
      <c r="J246" s="38"/>
      <c r="K246" s="41"/>
    </row>
    <row r="247" spans="1:11" s="3" customFormat="1" ht="12" x14ac:dyDescent="0.25">
      <c r="A247" s="17"/>
      <c r="B247" s="5"/>
      <c r="C247" s="4"/>
      <c r="D247" s="21"/>
      <c r="E247" s="22"/>
      <c r="F247" s="30"/>
      <c r="G247" s="21"/>
      <c r="H247" s="21"/>
      <c r="I247" s="22"/>
      <c r="J247" s="21"/>
      <c r="K247" s="23"/>
    </row>
    <row r="248" spans="1:11" s="3" customFormat="1" ht="12" x14ac:dyDescent="0.25">
      <c r="A248" s="54"/>
      <c r="B248" s="5"/>
      <c r="C248" s="4"/>
      <c r="D248" s="21"/>
      <c r="E248" s="22"/>
      <c r="F248" s="78"/>
      <c r="G248" s="21"/>
      <c r="H248" s="21"/>
      <c r="I248" s="22"/>
      <c r="J248" s="21"/>
      <c r="K248" s="23"/>
    </row>
    <row r="249" spans="1:11" s="3" customFormat="1" ht="12" x14ac:dyDescent="0.25">
      <c r="A249" s="46"/>
      <c r="B249" s="7"/>
      <c r="C249" s="4"/>
      <c r="D249" s="21"/>
      <c r="E249" s="22"/>
      <c r="F249" s="30"/>
      <c r="G249" s="21"/>
      <c r="H249" s="21"/>
      <c r="I249" s="22"/>
      <c r="J249" s="21"/>
      <c r="K249" s="23"/>
    </row>
    <row r="250" spans="1:11" s="3" customFormat="1" ht="12" x14ac:dyDescent="0.25">
      <c r="A250" s="46"/>
      <c r="B250" s="5"/>
      <c r="C250" s="4"/>
      <c r="D250" s="21"/>
      <c r="E250" s="22"/>
      <c r="F250" s="30"/>
      <c r="G250" s="21"/>
      <c r="H250" s="21"/>
      <c r="I250" s="22"/>
      <c r="J250" s="21"/>
      <c r="K250" s="21"/>
    </row>
    <row r="251" spans="1:11" s="3" customFormat="1" ht="12" x14ac:dyDescent="0.25">
      <c r="A251" s="54"/>
      <c r="B251" s="5"/>
      <c r="C251" s="4"/>
      <c r="D251" s="21"/>
      <c r="E251" s="22"/>
      <c r="F251" s="30"/>
      <c r="G251" s="28"/>
      <c r="H251" s="23"/>
      <c r="I251" s="22"/>
      <c r="J251" s="21"/>
      <c r="K251" s="23"/>
    </row>
    <row r="252" spans="1:11" s="3" customFormat="1" ht="12" x14ac:dyDescent="0.25">
      <c r="A252" s="54"/>
      <c r="B252" s="5"/>
      <c r="C252" s="4"/>
      <c r="D252" s="21"/>
      <c r="E252" s="22"/>
      <c r="F252" s="30"/>
      <c r="G252" s="21"/>
      <c r="H252" s="23"/>
      <c r="I252" s="22"/>
      <c r="J252" s="21"/>
      <c r="K252" s="23"/>
    </row>
    <row r="253" spans="1:11" s="3" customFormat="1" ht="12" x14ac:dyDescent="0.25">
      <c r="A253" s="54"/>
      <c r="B253" s="5"/>
      <c r="C253" s="4"/>
      <c r="D253" s="21"/>
      <c r="E253" s="22"/>
      <c r="F253" s="30"/>
      <c r="G253" s="21"/>
      <c r="H253" s="23"/>
      <c r="I253" s="22"/>
      <c r="J253" s="21"/>
      <c r="K253" s="23"/>
    </row>
    <row r="254" spans="1:11" ht="12" customHeight="1" x14ac:dyDescent="0.2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</row>
    <row r="255" spans="1:11" ht="12" customHeight="1" x14ac:dyDescent="0.2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</row>
    <row r="256" spans="1:11" ht="12" customHeight="1" x14ac:dyDescent="0.2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</row>
    <row r="257" spans="1:11" ht="12" customHeight="1" x14ac:dyDescent="0.2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</row>
    <row r="258" spans="1:11" ht="12" customHeight="1" x14ac:dyDescent="0.2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</row>
    <row r="259" spans="1:11" ht="12" customHeight="1" x14ac:dyDescent="0.2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</row>
    <row r="260" spans="1:11" ht="12" customHeight="1" x14ac:dyDescent="0.2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</row>
    <row r="261" spans="1:11" ht="12" customHeight="1" x14ac:dyDescent="0.2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</row>
    <row r="262" spans="1:11" ht="12" customHeight="1" x14ac:dyDescent="0.2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</row>
    <row r="263" spans="1:11" ht="12" customHeight="1" x14ac:dyDescent="0.2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</row>
    <row r="264" spans="1:11" ht="12" customHeight="1" x14ac:dyDescent="0.2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</row>
    <row r="265" spans="1:11" ht="12" customHeight="1" x14ac:dyDescent="0.2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</row>
    <row r="266" spans="1:11" ht="12" customHeight="1" x14ac:dyDescent="0.25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</row>
    <row r="267" spans="1:11" ht="12" customHeight="1" x14ac:dyDescent="0.25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</row>
    <row r="268" spans="1:11" ht="12" customHeight="1" x14ac:dyDescent="0.25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</row>
    <row r="269" spans="1:11" ht="12" customHeight="1" x14ac:dyDescent="0.25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</row>
    <row r="270" spans="1:11" ht="12" customHeight="1" x14ac:dyDescent="0.25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</row>
    <row r="271" spans="1:11" ht="12" customHeight="1" x14ac:dyDescent="0.25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</row>
    <row r="272" spans="1:11" ht="12" customHeight="1" x14ac:dyDescent="0.25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</row>
    <row r="273" spans="1:11" ht="12" customHeight="1" x14ac:dyDescent="0.25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</row>
    <row r="274" spans="1:11" ht="12" customHeight="1" x14ac:dyDescent="0.25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</row>
    <row r="275" spans="1:11" ht="12" customHeight="1" x14ac:dyDescent="0.2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</row>
    <row r="276" spans="1:11" ht="12" customHeight="1" x14ac:dyDescent="0.25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</row>
    <row r="277" spans="1:11" ht="12" customHeight="1" x14ac:dyDescent="0.25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</row>
    <row r="278" spans="1:11" ht="12" customHeight="1" x14ac:dyDescent="0.2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</row>
    <row r="279" spans="1:11" ht="12" customHeight="1" x14ac:dyDescent="0.2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1" ht="12" customHeight="1" x14ac:dyDescent="0.25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</row>
    <row r="281" spans="1:11" ht="12" customHeight="1" x14ac:dyDescent="0.25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</row>
    <row r="282" spans="1:11" ht="12" customHeight="1" x14ac:dyDescent="0.25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</row>
    <row r="283" spans="1:11" ht="12" customHeight="1" x14ac:dyDescent="0.25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</row>
    <row r="284" spans="1:11" ht="12" customHeight="1" x14ac:dyDescent="0.25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</row>
    <row r="285" spans="1:11" ht="12" customHeight="1" x14ac:dyDescent="0.25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</row>
    <row r="286" spans="1:11" ht="12" customHeight="1" x14ac:dyDescent="0.25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</row>
    <row r="287" spans="1:11" ht="12" customHeight="1" x14ac:dyDescent="0.25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</row>
    <row r="288" spans="1:11" ht="12" customHeight="1" x14ac:dyDescent="0.25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</row>
    <row r="289" spans="1:11" ht="12" customHeight="1" x14ac:dyDescent="0.25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</row>
    <row r="290" spans="1:11" ht="12" customHeight="1" x14ac:dyDescent="0.25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</row>
    <row r="291" spans="1:11" ht="12" customHeight="1" x14ac:dyDescent="0.25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</row>
    <row r="292" spans="1:11" ht="12" customHeight="1" x14ac:dyDescent="0.25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</row>
    <row r="293" spans="1:11" ht="12" customHeight="1" x14ac:dyDescent="0.25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</row>
    <row r="294" spans="1:11" ht="12" customHeight="1" x14ac:dyDescent="0.25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</row>
    <row r="295" spans="1:11" ht="12" customHeight="1" x14ac:dyDescent="0.25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</row>
    <row r="296" spans="1:11" ht="12" customHeight="1" x14ac:dyDescent="0.25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</row>
    <row r="297" spans="1:11" ht="12" customHeight="1" x14ac:dyDescent="0.25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</row>
    <row r="298" spans="1:11" ht="12" customHeight="1" x14ac:dyDescent="0.25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</row>
    <row r="299" spans="1:11" ht="12" customHeight="1" x14ac:dyDescent="0.25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</row>
    <row r="300" spans="1:11" ht="12" customHeight="1" x14ac:dyDescent="0.25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</row>
    <row r="301" spans="1:11" ht="12" customHeight="1" x14ac:dyDescent="0.25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</row>
    <row r="302" spans="1:11" ht="12" customHeight="1" x14ac:dyDescent="0.25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</row>
    <row r="303" spans="1:11" ht="12" customHeight="1" x14ac:dyDescent="0.25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</row>
    <row r="304" spans="1:11" ht="12" customHeight="1" x14ac:dyDescent="0.25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</row>
    <row r="305" spans="1:11" ht="12" customHeight="1" x14ac:dyDescent="0.25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</row>
    <row r="306" spans="1:11" ht="12" customHeight="1" x14ac:dyDescent="0.25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</row>
    <row r="307" spans="1:11" ht="12" customHeight="1" x14ac:dyDescent="0.25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</row>
    <row r="308" spans="1:11" ht="12" customHeight="1" x14ac:dyDescent="0.25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</row>
    <row r="309" spans="1:11" ht="12" customHeight="1" x14ac:dyDescent="0.25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</row>
    <row r="310" spans="1:11" ht="12" customHeight="1" x14ac:dyDescent="0.25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</row>
    <row r="311" spans="1:11" ht="12" customHeight="1" x14ac:dyDescent="0.25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</row>
    <row r="312" spans="1:11" ht="12" customHeight="1" x14ac:dyDescent="0.25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</row>
    <row r="313" spans="1:11" ht="12" customHeight="1" x14ac:dyDescent="0.25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</row>
    <row r="314" spans="1:11" ht="12" customHeight="1" x14ac:dyDescent="0.25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</row>
    <row r="315" spans="1:11" ht="12" customHeight="1" x14ac:dyDescent="0.25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</row>
    <row r="316" spans="1:11" ht="12" customHeight="1" x14ac:dyDescent="0.25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</row>
    <row r="317" spans="1:11" ht="12" customHeight="1" x14ac:dyDescent="0.25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</row>
    <row r="318" spans="1:11" ht="12" customHeight="1" x14ac:dyDescent="0.25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</row>
    <row r="319" spans="1:11" ht="12" customHeight="1" x14ac:dyDescent="0.25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</row>
    <row r="320" spans="1:11" ht="12" customHeight="1" x14ac:dyDescent="0.25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</row>
    <row r="321" spans="1:11" ht="12" customHeight="1" x14ac:dyDescent="0.25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</row>
    <row r="322" spans="1:11" ht="12" customHeight="1" x14ac:dyDescent="0.25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</row>
    <row r="323" spans="1:11" ht="12" customHeight="1" x14ac:dyDescent="0.25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</row>
    <row r="324" spans="1:11" ht="12" customHeight="1" x14ac:dyDescent="0.25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</row>
    <row r="325" spans="1:11" ht="12" customHeight="1" x14ac:dyDescent="0.2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</row>
    <row r="326" spans="1:11" ht="12" customHeight="1" x14ac:dyDescent="0.25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</row>
    <row r="327" spans="1:11" ht="12" customHeight="1" x14ac:dyDescent="0.25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</row>
    <row r="328" spans="1:11" ht="12" customHeight="1" x14ac:dyDescent="0.25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</row>
    <row r="329" spans="1:11" ht="12" customHeight="1" x14ac:dyDescent="0.25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</row>
    <row r="330" spans="1:11" ht="12" customHeight="1" x14ac:dyDescent="0.25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</row>
  </sheetData>
  <phoneticPr fontId="4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Conegliano Via Maggiore Piovesana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user</cp:lastModifiedBy>
  <cp:lastPrinted>2018-08-03T14:52:04Z</cp:lastPrinted>
  <dcterms:created xsi:type="dcterms:W3CDTF">2000-03-31T13:11:42Z</dcterms:created>
  <dcterms:modified xsi:type="dcterms:W3CDTF">2018-09-09T13:47:40Z</dcterms:modified>
</cp:coreProperties>
</file>