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Ammortamenti\"/>
    </mc:Choice>
  </mc:AlternateContent>
  <bookViews>
    <workbookView xWindow="0" yWindow="0" windowWidth="23040" windowHeight="9408" activeTab="1"/>
  </bookViews>
  <sheets>
    <sheet name="Grafico1" sheetId="4" r:id="rId1"/>
    <sheet name="Foglio1" sheetId="1" r:id="rId2"/>
    <sheet name="Foglio2" sheetId="2" r:id="rId3"/>
    <sheet name="Foglio3" sheetId="3" r:id="rId4"/>
  </sheets>
  <calcPr calcId="152511" concurrentCalc="0"/>
</workbook>
</file>

<file path=xl/calcChain.xml><?xml version="1.0" encoding="utf-8"?>
<calcChain xmlns="http://schemas.openxmlformats.org/spreadsheetml/2006/main">
  <c r="F475" i="1" l="1"/>
  <c r="G475" i="1"/>
  <c r="F432" i="1"/>
  <c r="F440" i="1"/>
  <c r="F452" i="1"/>
  <c r="F476" i="1"/>
  <c r="E398" i="1"/>
  <c r="F398" i="1"/>
  <c r="E399" i="1"/>
  <c r="F399" i="1"/>
  <c r="F400" i="1"/>
  <c r="F401" i="1"/>
  <c r="F402" i="1"/>
  <c r="F403" i="1"/>
  <c r="F404" i="1"/>
  <c r="F405" i="1"/>
  <c r="F419" i="1"/>
  <c r="F427" i="1"/>
  <c r="F477" i="1"/>
  <c r="E13" i="1"/>
  <c r="F13" i="1"/>
  <c r="G13" i="1"/>
  <c r="H13" i="1"/>
  <c r="H14" i="1"/>
  <c r="E20" i="1"/>
  <c r="F20" i="1"/>
  <c r="G20" i="1"/>
  <c r="H20" i="1"/>
  <c r="E21" i="1"/>
  <c r="F21" i="1"/>
  <c r="G21" i="1"/>
  <c r="H21" i="1"/>
  <c r="H22" i="1"/>
  <c r="G24" i="1"/>
  <c r="H24" i="1"/>
  <c r="G32" i="1"/>
  <c r="H32" i="1"/>
  <c r="G33" i="1"/>
  <c r="H33" i="1"/>
  <c r="H35" i="1"/>
  <c r="G37" i="1"/>
  <c r="H37" i="1"/>
  <c r="G38" i="1"/>
  <c r="H38" i="1"/>
  <c r="G39" i="1"/>
  <c r="H39" i="1"/>
  <c r="G40" i="1"/>
  <c r="H40" i="1"/>
  <c r="H42" i="1"/>
  <c r="G44" i="1"/>
  <c r="H44" i="1"/>
  <c r="H48" i="1"/>
  <c r="E51" i="1"/>
  <c r="G51" i="1"/>
  <c r="H51" i="1"/>
  <c r="H52" i="1"/>
  <c r="E430" i="1"/>
  <c r="G430" i="1"/>
  <c r="H430" i="1"/>
  <c r="E431" i="1"/>
  <c r="G431" i="1"/>
  <c r="H431" i="1"/>
  <c r="E432" i="1"/>
  <c r="G432" i="1"/>
  <c r="H432" i="1"/>
  <c r="E434" i="1"/>
  <c r="G434" i="1"/>
  <c r="H434" i="1"/>
  <c r="E436" i="1"/>
  <c r="G436" i="1"/>
  <c r="H436" i="1"/>
  <c r="E438" i="1"/>
  <c r="G438" i="1"/>
  <c r="H438" i="1"/>
  <c r="E439" i="1"/>
  <c r="G439" i="1"/>
  <c r="H439" i="1"/>
  <c r="H440" i="1"/>
  <c r="H452" i="1"/>
  <c r="E454" i="1"/>
  <c r="G454" i="1"/>
  <c r="H454" i="1"/>
  <c r="E455" i="1"/>
  <c r="G455" i="1"/>
  <c r="H455" i="1"/>
  <c r="E457" i="1"/>
  <c r="G457" i="1"/>
  <c r="H457" i="1"/>
  <c r="E458" i="1"/>
  <c r="G458" i="1"/>
  <c r="H458" i="1"/>
  <c r="E459" i="1"/>
  <c r="G459" i="1"/>
  <c r="H459" i="1"/>
  <c r="E460" i="1"/>
  <c r="G460" i="1"/>
  <c r="H460" i="1"/>
  <c r="G462" i="1"/>
  <c r="H462" i="1"/>
  <c r="E463" i="1"/>
  <c r="G463" i="1"/>
  <c r="H463" i="1"/>
  <c r="E464" i="1"/>
  <c r="G464" i="1"/>
  <c r="H464" i="1"/>
  <c r="G465" i="1"/>
  <c r="H465" i="1"/>
  <c r="E468" i="1"/>
  <c r="G468" i="1"/>
  <c r="H468" i="1"/>
  <c r="G470" i="1"/>
  <c r="H470" i="1"/>
  <c r="G472" i="1"/>
  <c r="H472" i="1"/>
  <c r="E473" i="1"/>
  <c r="G473" i="1"/>
  <c r="H473" i="1"/>
  <c r="H476" i="1"/>
  <c r="G397" i="1"/>
  <c r="H397" i="1"/>
  <c r="G398" i="1"/>
  <c r="H398" i="1"/>
  <c r="G399" i="1"/>
  <c r="H399" i="1"/>
  <c r="E400" i="1"/>
  <c r="G400" i="1"/>
  <c r="H400" i="1"/>
  <c r="E401" i="1"/>
  <c r="G401" i="1"/>
  <c r="H401" i="1"/>
  <c r="E402" i="1"/>
  <c r="G402" i="1"/>
  <c r="H402" i="1"/>
  <c r="E403" i="1"/>
  <c r="G403" i="1"/>
  <c r="H403" i="1"/>
  <c r="E404" i="1"/>
  <c r="G404" i="1"/>
  <c r="H404" i="1"/>
  <c r="H405" i="1"/>
  <c r="H408" i="1"/>
  <c r="E410" i="1"/>
  <c r="G410" i="1"/>
  <c r="H410" i="1"/>
  <c r="E411" i="1"/>
  <c r="G411" i="1"/>
  <c r="H411" i="1"/>
  <c r="E412" i="1"/>
  <c r="G412" i="1"/>
  <c r="H412" i="1"/>
  <c r="E413" i="1"/>
  <c r="G413" i="1"/>
  <c r="H413" i="1"/>
  <c r="E415" i="1"/>
  <c r="G415" i="1"/>
  <c r="H415" i="1"/>
  <c r="E416" i="1"/>
  <c r="G416" i="1"/>
  <c r="H416" i="1"/>
  <c r="G417" i="1"/>
  <c r="H417" i="1"/>
  <c r="G418" i="1"/>
  <c r="H418" i="1"/>
  <c r="H419" i="1"/>
  <c r="G422" i="1"/>
  <c r="H422" i="1"/>
  <c r="G426" i="1"/>
  <c r="H426" i="1"/>
  <c r="H427" i="1"/>
  <c r="H477" i="1"/>
  <c r="G440" i="1"/>
  <c r="G452" i="1"/>
  <c r="G476" i="1"/>
  <c r="G405" i="1"/>
  <c r="G419" i="1"/>
  <c r="G427" i="1"/>
  <c r="G477" i="1"/>
  <c r="E120" i="1"/>
  <c r="F120" i="1"/>
  <c r="G120" i="1"/>
  <c r="H120" i="1"/>
  <c r="E121" i="1"/>
  <c r="F121" i="1"/>
  <c r="G121" i="1"/>
  <c r="H121" i="1"/>
  <c r="E122" i="1"/>
  <c r="F122" i="1"/>
  <c r="G122" i="1"/>
  <c r="H122" i="1"/>
  <c r="E123" i="1"/>
  <c r="F123" i="1"/>
  <c r="G123" i="1"/>
  <c r="H123" i="1"/>
  <c r="E124" i="1"/>
  <c r="F124" i="1"/>
  <c r="G124" i="1"/>
  <c r="H124" i="1"/>
  <c r="E125" i="1"/>
  <c r="F125" i="1"/>
  <c r="G125" i="1"/>
  <c r="H125" i="1"/>
  <c r="F126" i="1"/>
  <c r="G126" i="1"/>
  <c r="H126" i="1"/>
  <c r="E127" i="1"/>
  <c r="F127" i="1"/>
  <c r="G127" i="1"/>
  <c r="H127" i="1"/>
  <c r="E128" i="1"/>
  <c r="F128" i="1"/>
  <c r="G128" i="1"/>
  <c r="H128" i="1"/>
  <c r="E129" i="1"/>
  <c r="F129" i="1"/>
  <c r="G129" i="1"/>
  <c r="H129" i="1"/>
  <c r="F130" i="1"/>
  <c r="G130" i="1"/>
  <c r="H130" i="1"/>
  <c r="E131" i="1"/>
  <c r="F131" i="1"/>
  <c r="G131" i="1"/>
  <c r="H131" i="1"/>
  <c r="E132" i="1"/>
  <c r="F132" i="1"/>
  <c r="G132" i="1"/>
  <c r="H132" i="1"/>
  <c r="E133" i="1"/>
  <c r="F133" i="1"/>
  <c r="G133" i="1"/>
  <c r="H133" i="1"/>
  <c r="E134" i="1"/>
  <c r="F134" i="1"/>
  <c r="G134" i="1"/>
  <c r="H134" i="1"/>
  <c r="E135" i="1"/>
  <c r="F135" i="1"/>
  <c r="G135" i="1"/>
  <c r="H135" i="1"/>
  <c r="E136" i="1"/>
  <c r="F136" i="1"/>
  <c r="G136" i="1"/>
  <c r="H136" i="1"/>
  <c r="E137" i="1"/>
  <c r="F137" i="1"/>
  <c r="G137" i="1"/>
  <c r="H137" i="1"/>
  <c r="E138" i="1"/>
  <c r="F138" i="1"/>
  <c r="G138" i="1"/>
  <c r="H138" i="1"/>
  <c r="E139" i="1"/>
  <c r="F139" i="1"/>
  <c r="G139" i="1"/>
  <c r="H139" i="1"/>
  <c r="E140" i="1"/>
  <c r="F140" i="1"/>
  <c r="G140" i="1"/>
  <c r="H140" i="1"/>
  <c r="E141" i="1"/>
  <c r="F141" i="1"/>
  <c r="G141" i="1"/>
  <c r="H141" i="1"/>
  <c r="F142" i="1"/>
  <c r="G142" i="1"/>
  <c r="H142" i="1"/>
  <c r="F143" i="1"/>
  <c r="G143" i="1"/>
  <c r="H143" i="1"/>
  <c r="E144" i="1"/>
  <c r="F144" i="1"/>
  <c r="G144" i="1"/>
  <c r="H144" i="1"/>
  <c r="E145" i="1"/>
  <c r="F145" i="1"/>
  <c r="G145" i="1"/>
  <c r="H145" i="1"/>
  <c r="E146" i="1"/>
  <c r="F146" i="1"/>
  <c r="G146" i="1"/>
  <c r="H146" i="1"/>
  <c r="E147" i="1"/>
  <c r="F147" i="1"/>
  <c r="G147" i="1"/>
  <c r="H147" i="1"/>
  <c r="E148" i="1"/>
  <c r="F148" i="1"/>
  <c r="G148" i="1"/>
  <c r="H148" i="1"/>
  <c r="E149" i="1"/>
  <c r="F149" i="1"/>
  <c r="G149" i="1"/>
  <c r="H149" i="1"/>
  <c r="E150" i="1"/>
  <c r="F150" i="1"/>
  <c r="G150" i="1"/>
  <c r="H150" i="1"/>
  <c r="E151" i="1"/>
  <c r="F151" i="1"/>
  <c r="G151" i="1"/>
  <c r="H151" i="1"/>
  <c r="E152" i="1"/>
  <c r="F152" i="1"/>
  <c r="G152" i="1"/>
  <c r="H152" i="1"/>
  <c r="E153" i="1"/>
  <c r="F153" i="1"/>
  <c r="G153" i="1"/>
  <c r="H153" i="1"/>
  <c r="E154" i="1"/>
  <c r="F154" i="1"/>
  <c r="G154" i="1"/>
  <c r="H154" i="1"/>
  <c r="E155" i="1"/>
  <c r="F155" i="1"/>
  <c r="G155" i="1"/>
  <c r="H155" i="1"/>
  <c r="E156" i="1"/>
  <c r="F156" i="1"/>
  <c r="G156" i="1"/>
  <c r="H156" i="1"/>
  <c r="E157" i="1"/>
  <c r="F157" i="1"/>
  <c r="G157" i="1"/>
  <c r="H157" i="1"/>
  <c r="F158" i="1"/>
  <c r="G158" i="1"/>
  <c r="H158" i="1"/>
  <c r="E159" i="1"/>
  <c r="F159" i="1"/>
  <c r="G159" i="1"/>
  <c r="H159" i="1"/>
  <c r="H161" i="1"/>
  <c r="H172" i="1"/>
  <c r="E173" i="1"/>
  <c r="F173" i="1"/>
  <c r="G173" i="1"/>
  <c r="H173" i="1"/>
  <c r="E174" i="1"/>
  <c r="F174" i="1"/>
  <c r="G174" i="1"/>
  <c r="H174" i="1"/>
  <c r="E175" i="1"/>
  <c r="F175" i="1"/>
  <c r="G175" i="1"/>
  <c r="H175" i="1"/>
  <c r="E176" i="1"/>
  <c r="F176" i="1"/>
  <c r="G176" i="1"/>
  <c r="H176" i="1"/>
  <c r="E177" i="1"/>
  <c r="F177" i="1"/>
  <c r="G177" i="1"/>
  <c r="H177" i="1"/>
  <c r="E178" i="1"/>
  <c r="F178" i="1"/>
  <c r="G178" i="1"/>
  <c r="H178" i="1"/>
  <c r="E179" i="1"/>
  <c r="F179" i="1"/>
  <c r="G179" i="1"/>
  <c r="H179" i="1"/>
  <c r="E180" i="1"/>
  <c r="F180" i="1"/>
  <c r="G180" i="1"/>
  <c r="H180" i="1"/>
  <c r="E181" i="1"/>
  <c r="F181" i="1"/>
  <c r="G181" i="1"/>
  <c r="H181" i="1"/>
  <c r="E182" i="1"/>
  <c r="F182" i="1"/>
  <c r="G182" i="1"/>
  <c r="H182" i="1"/>
  <c r="E183" i="1"/>
  <c r="F183" i="1"/>
  <c r="G183" i="1"/>
  <c r="H183" i="1"/>
  <c r="E184" i="1"/>
  <c r="F184" i="1"/>
  <c r="G184" i="1"/>
  <c r="H184" i="1"/>
  <c r="E185" i="1"/>
  <c r="F185" i="1"/>
  <c r="G185" i="1"/>
  <c r="H185" i="1"/>
  <c r="E186" i="1"/>
  <c r="F186" i="1"/>
  <c r="G186" i="1"/>
  <c r="H186" i="1"/>
  <c r="E187" i="1"/>
  <c r="F187" i="1"/>
  <c r="G187" i="1"/>
  <c r="H187" i="1"/>
  <c r="F188" i="1"/>
  <c r="G188" i="1"/>
  <c r="H188" i="1"/>
  <c r="E189" i="1"/>
  <c r="F189" i="1"/>
  <c r="G189" i="1"/>
  <c r="H189" i="1"/>
  <c r="F190" i="1"/>
  <c r="G190" i="1"/>
  <c r="H190" i="1"/>
  <c r="E191" i="1"/>
  <c r="F191" i="1"/>
  <c r="G191" i="1"/>
  <c r="H191" i="1"/>
  <c r="E192" i="1"/>
  <c r="F192" i="1"/>
  <c r="G192" i="1"/>
  <c r="H192" i="1"/>
  <c r="E193" i="1"/>
  <c r="F193" i="1"/>
  <c r="G193" i="1"/>
  <c r="H193" i="1"/>
  <c r="E194" i="1"/>
  <c r="F194" i="1"/>
  <c r="G194" i="1"/>
  <c r="H194" i="1"/>
  <c r="E195" i="1"/>
  <c r="F195" i="1"/>
  <c r="G195" i="1"/>
  <c r="H195" i="1"/>
  <c r="E196" i="1"/>
  <c r="F196" i="1"/>
  <c r="G196" i="1"/>
  <c r="H196" i="1"/>
  <c r="E197" i="1"/>
  <c r="F197" i="1"/>
  <c r="G197" i="1"/>
  <c r="H197" i="1"/>
  <c r="E198" i="1"/>
  <c r="F198" i="1"/>
  <c r="G198" i="1"/>
  <c r="H198" i="1"/>
  <c r="E199" i="1"/>
  <c r="F199" i="1"/>
  <c r="G199" i="1"/>
  <c r="H199" i="1"/>
  <c r="E200" i="1"/>
  <c r="F200" i="1"/>
  <c r="G200" i="1"/>
  <c r="H200" i="1"/>
  <c r="E201" i="1"/>
  <c r="F201" i="1"/>
  <c r="G201" i="1"/>
  <c r="H201" i="1"/>
  <c r="E202" i="1"/>
  <c r="F202" i="1"/>
  <c r="G202" i="1"/>
  <c r="H202" i="1"/>
  <c r="E203" i="1"/>
  <c r="F203" i="1"/>
  <c r="G203" i="1"/>
  <c r="H203" i="1"/>
  <c r="E204" i="1"/>
  <c r="F204" i="1"/>
  <c r="G204" i="1"/>
  <c r="H204" i="1"/>
  <c r="E205" i="1"/>
  <c r="F205" i="1"/>
  <c r="G205" i="1"/>
  <c r="H205" i="1"/>
  <c r="E206" i="1"/>
  <c r="F206" i="1"/>
  <c r="G206" i="1"/>
  <c r="H206" i="1"/>
  <c r="E207" i="1"/>
  <c r="F207" i="1"/>
  <c r="G207" i="1"/>
  <c r="H207" i="1"/>
  <c r="E208" i="1"/>
  <c r="F208" i="1"/>
  <c r="G208" i="1"/>
  <c r="H208" i="1"/>
  <c r="E209" i="1"/>
  <c r="F209" i="1"/>
  <c r="G209" i="1"/>
  <c r="H209" i="1"/>
  <c r="E214" i="1"/>
  <c r="F214" i="1"/>
  <c r="G214" i="1"/>
  <c r="H214" i="1"/>
  <c r="E215" i="1"/>
  <c r="F215" i="1"/>
  <c r="G215" i="1"/>
  <c r="H215" i="1"/>
  <c r="E216" i="1"/>
  <c r="F216" i="1"/>
  <c r="G216" i="1"/>
  <c r="H216" i="1"/>
  <c r="E217" i="1"/>
  <c r="F217" i="1"/>
  <c r="G217" i="1"/>
  <c r="H217" i="1"/>
  <c r="E218" i="1"/>
  <c r="F218" i="1"/>
  <c r="G218" i="1"/>
  <c r="H218" i="1"/>
  <c r="H219" i="1"/>
  <c r="H228" i="1"/>
  <c r="E229" i="1"/>
  <c r="F229" i="1"/>
  <c r="G229" i="1"/>
  <c r="H229" i="1"/>
  <c r="E230" i="1"/>
  <c r="F230" i="1"/>
  <c r="G230" i="1"/>
  <c r="H230" i="1"/>
  <c r="E231" i="1"/>
  <c r="F231" i="1"/>
  <c r="G231" i="1"/>
  <c r="H231" i="1"/>
  <c r="E232" i="1"/>
  <c r="F232" i="1"/>
  <c r="G232" i="1"/>
  <c r="H232" i="1"/>
  <c r="E233" i="1"/>
  <c r="F233" i="1"/>
  <c r="G233" i="1"/>
  <c r="H233" i="1"/>
  <c r="E234" i="1"/>
  <c r="F234" i="1"/>
  <c r="G234" i="1"/>
  <c r="H234" i="1"/>
  <c r="E235" i="1"/>
  <c r="F235" i="1"/>
  <c r="G235" i="1"/>
  <c r="H235" i="1"/>
  <c r="E236" i="1"/>
  <c r="F236" i="1"/>
  <c r="G236" i="1"/>
  <c r="H236" i="1"/>
  <c r="F237" i="1"/>
  <c r="G237" i="1"/>
  <c r="H237" i="1"/>
  <c r="E238" i="1"/>
  <c r="F238" i="1"/>
  <c r="G238" i="1"/>
  <c r="H238" i="1"/>
  <c r="E239" i="1"/>
  <c r="F239" i="1"/>
  <c r="G239" i="1"/>
  <c r="H239" i="1"/>
  <c r="E240" i="1"/>
  <c r="F240" i="1"/>
  <c r="G240" i="1"/>
  <c r="H240" i="1"/>
  <c r="E241" i="1"/>
  <c r="F241" i="1"/>
  <c r="G241" i="1"/>
  <c r="H241" i="1"/>
  <c r="E242" i="1"/>
  <c r="F242" i="1"/>
  <c r="G242" i="1"/>
  <c r="H242" i="1"/>
  <c r="E243" i="1"/>
  <c r="F243" i="1"/>
  <c r="G243" i="1"/>
  <c r="H243" i="1"/>
  <c r="E244" i="1"/>
  <c r="F244" i="1"/>
  <c r="G244" i="1"/>
  <c r="H244" i="1"/>
  <c r="E245" i="1"/>
  <c r="F245" i="1"/>
  <c r="G245" i="1"/>
  <c r="H245" i="1"/>
  <c r="E246" i="1"/>
  <c r="F246" i="1"/>
  <c r="G246" i="1"/>
  <c r="H246" i="1"/>
  <c r="E247" i="1"/>
  <c r="F247" i="1"/>
  <c r="G247" i="1"/>
  <c r="H247" i="1"/>
  <c r="E248" i="1"/>
  <c r="F248" i="1"/>
  <c r="G248" i="1"/>
  <c r="H248" i="1"/>
  <c r="E249" i="1"/>
  <c r="F249" i="1"/>
  <c r="G249" i="1"/>
  <c r="H249" i="1"/>
  <c r="E250" i="1"/>
  <c r="F250" i="1"/>
  <c r="G250" i="1"/>
  <c r="H250" i="1"/>
  <c r="E251" i="1"/>
  <c r="F251" i="1"/>
  <c r="G251" i="1"/>
  <c r="H251" i="1"/>
  <c r="E252" i="1"/>
  <c r="F252" i="1"/>
  <c r="G252" i="1"/>
  <c r="H252" i="1"/>
  <c r="E253" i="1"/>
  <c r="F253" i="1"/>
  <c r="G253" i="1"/>
  <c r="H253" i="1"/>
  <c r="E254" i="1"/>
  <c r="F254" i="1"/>
  <c r="G254" i="1"/>
  <c r="H254" i="1"/>
  <c r="E255" i="1"/>
  <c r="F255" i="1"/>
  <c r="G255" i="1"/>
  <c r="H255" i="1"/>
  <c r="E256" i="1"/>
  <c r="F256" i="1"/>
  <c r="G256" i="1"/>
  <c r="H256" i="1"/>
  <c r="C257" i="1"/>
  <c r="H257" i="1"/>
  <c r="C258" i="1"/>
  <c r="H258" i="1"/>
  <c r="C259" i="1"/>
  <c r="H259" i="1"/>
  <c r="C260" i="1"/>
  <c r="H260" i="1"/>
  <c r="C261" i="1"/>
  <c r="H261" i="1"/>
  <c r="H262" i="1"/>
  <c r="E265" i="1"/>
  <c r="F265" i="1"/>
  <c r="G265" i="1"/>
  <c r="H265" i="1"/>
  <c r="E266" i="1"/>
  <c r="F266" i="1"/>
  <c r="G266" i="1"/>
  <c r="H266" i="1"/>
  <c r="E268" i="1"/>
  <c r="F268" i="1"/>
  <c r="G268" i="1"/>
  <c r="H268" i="1"/>
  <c r="E269" i="1"/>
  <c r="F269" i="1"/>
  <c r="G269" i="1"/>
  <c r="H269" i="1"/>
  <c r="E271" i="1"/>
  <c r="F271" i="1"/>
  <c r="G271" i="1"/>
  <c r="H271" i="1"/>
  <c r="E272" i="1"/>
  <c r="F272" i="1"/>
  <c r="G272" i="1"/>
  <c r="H272" i="1"/>
  <c r="E273" i="1"/>
  <c r="F273" i="1"/>
  <c r="G273" i="1"/>
  <c r="H273" i="1"/>
  <c r="E274" i="1"/>
  <c r="F274" i="1"/>
  <c r="G274" i="1"/>
  <c r="H274" i="1"/>
  <c r="E276" i="1"/>
  <c r="F276" i="1"/>
  <c r="G276" i="1"/>
  <c r="H276" i="1"/>
  <c r="E277" i="1"/>
  <c r="F277" i="1"/>
  <c r="G277" i="1"/>
  <c r="H277" i="1"/>
  <c r="H278" i="1"/>
  <c r="H284" i="1"/>
  <c r="E285" i="1"/>
  <c r="F285" i="1"/>
  <c r="G285" i="1"/>
  <c r="H285" i="1"/>
  <c r="E286" i="1"/>
  <c r="F286" i="1"/>
  <c r="G286" i="1"/>
  <c r="H286" i="1"/>
  <c r="E288" i="1"/>
  <c r="F288" i="1"/>
  <c r="G288" i="1"/>
  <c r="H288" i="1"/>
  <c r="E289" i="1"/>
  <c r="F289" i="1"/>
  <c r="G289" i="1"/>
  <c r="H289" i="1"/>
  <c r="E290" i="1"/>
  <c r="F290" i="1"/>
  <c r="G290" i="1"/>
  <c r="H290" i="1"/>
  <c r="E291" i="1"/>
  <c r="F291" i="1"/>
  <c r="G291" i="1"/>
  <c r="H291" i="1"/>
  <c r="E292" i="1"/>
  <c r="F292" i="1"/>
  <c r="G292" i="1"/>
  <c r="H292" i="1"/>
  <c r="E293" i="1"/>
  <c r="F293" i="1"/>
  <c r="G293" i="1"/>
  <c r="H293" i="1"/>
  <c r="E294" i="1"/>
  <c r="F294" i="1"/>
  <c r="G294" i="1"/>
  <c r="H294" i="1"/>
  <c r="E295" i="1"/>
  <c r="F295" i="1"/>
  <c r="G295" i="1"/>
  <c r="H295" i="1"/>
  <c r="E297" i="1"/>
  <c r="F297" i="1"/>
  <c r="G297" i="1"/>
  <c r="H297" i="1"/>
  <c r="E299" i="1"/>
  <c r="F299" i="1"/>
  <c r="G299" i="1"/>
  <c r="H299" i="1"/>
  <c r="E300" i="1"/>
  <c r="F300" i="1"/>
  <c r="G300" i="1"/>
  <c r="H300" i="1"/>
  <c r="E301" i="1"/>
  <c r="F301" i="1"/>
  <c r="G301" i="1"/>
  <c r="H301" i="1"/>
  <c r="H302" i="1"/>
  <c r="E305" i="1"/>
  <c r="F305" i="1"/>
  <c r="G305" i="1"/>
  <c r="H305" i="1"/>
  <c r="E306" i="1"/>
  <c r="F306" i="1"/>
  <c r="G306" i="1"/>
  <c r="H306" i="1"/>
  <c r="E307" i="1"/>
  <c r="F307" i="1"/>
  <c r="G307" i="1"/>
  <c r="H307" i="1"/>
  <c r="E308" i="1"/>
  <c r="F308" i="1"/>
  <c r="G308" i="1"/>
  <c r="H308" i="1"/>
  <c r="E309" i="1"/>
  <c r="F309" i="1"/>
  <c r="G309" i="1"/>
  <c r="H309" i="1"/>
  <c r="E311" i="1"/>
  <c r="F311" i="1"/>
  <c r="G311" i="1"/>
  <c r="H311" i="1"/>
  <c r="E312" i="1"/>
  <c r="F312" i="1"/>
  <c r="G312" i="1"/>
  <c r="H312" i="1"/>
  <c r="E313" i="1"/>
  <c r="F313" i="1"/>
  <c r="G313" i="1"/>
  <c r="H313" i="1"/>
  <c r="E314" i="1"/>
  <c r="F314" i="1"/>
  <c r="G314" i="1"/>
  <c r="H314" i="1"/>
  <c r="E315" i="1"/>
  <c r="F315" i="1"/>
  <c r="G315" i="1"/>
  <c r="H315" i="1"/>
  <c r="F317" i="1"/>
  <c r="G317" i="1"/>
  <c r="H317" i="1"/>
  <c r="E318" i="1"/>
  <c r="F318" i="1"/>
  <c r="G318" i="1"/>
  <c r="H318" i="1"/>
  <c r="E319" i="1"/>
  <c r="F319" i="1"/>
  <c r="G319" i="1"/>
  <c r="H319" i="1"/>
  <c r="F320" i="1"/>
  <c r="G320" i="1"/>
  <c r="H320" i="1"/>
  <c r="E321" i="1"/>
  <c r="F321" i="1"/>
  <c r="G321" i="1"/>
  <c r="H321" i="1"/>
  <c r="H322" i="1"/>
  <c r="E325" i="1"/>
  <c r="F325" i="1"/>
  <c r="G325" i="1"/>
  <c r="H325" i="1"/>
  <c r="E326" i="1"/>
  <c r="F326" i="1"/>
  <c r="G326" i="1"/>
  <c r="H326" i="1"/>
  <c r="E327" i="1"/>
  <c r="F327" i="1"/>
  <c r="G327" i="1"/>
  <c r="H327" i="1"/>
  <c r="H328" i="1"/>
  <c r="H340" i="1"/>
  <c r="E342" i="1"/>
  <c r="F342" i="1"/>
  <c r="G342" i="1"/>
  <c r="H342" i="1"/>
  <c r="E343" i="1"/>
  <c r="F343" i="1"/>
  <c r="G343" i="1"/>
  <c r="H343" i="1"/>
  <c r="E345" i="1"/>
  <c r="F345" i="1"/>
  <c r="G345" i="1"/>
  <c r="H345" i="1"/>
  <c r="E346" i="1"/>
  <c r="F346" i="1"/>
  <c r="G346" i="1"/>
  <c r="H346" i="1"/>
  <c r="E348" i="1"/>
  <c r="F348" i="1"/>
  <c r="G348" i="1"/>
  <c r="H348" i="1"/>
  <c r="E349" i="1"/>
  <c r="F349" i="1"/>
  <c r="G349" i="1"/>
  <c r="H349" i="1"/>
  <c r="E351" i="1"/>
  <c r="F351" i="1"/>
  <c r="G351" i="1"/>
  <c r="H351" i="1"/>
  <c r="E352" i="1"/>
  <c r="F352" i="1"/>
  <c r="G352" i="1"/>
  <c r="H352" i="1"/>
  <c r="E353" i="1"/>
  <c r="F353" i="1"/>
  <c r="G353" i="1"/>
  <c r="H353" i="1"/>
  <c r="E354" i="1"/>
  <c r="F354" i="1"/>
  <c r="G354" i="1"/>
  <c r="H354" i="1"/>
  <c r="E356" i="1"/>
  <c r="F356" i="1"/>
  <c r="G356" i="1"/>
  <c r="H356" i="1"/>
  <c r="E357" i="1"/>
  <c r="F357" i="1"/>
  <c r="G357" i="1"/>
  <c r="H357" i="1"/>
  <c r="F359" i="1"/>
  <c r="G359" i="1"/>
  <c r="H359" i="1"/>
  <c r="F360" i="1"/>
  <c r="G360" i="1"/>
  <c r="H360" i="1"/>
  <c r="E361" i="1"/>
  <c r="F361" i="1"/>
  <c r="G361" i="1"/>
  <c r="H361" i="1"/>
  <c r="E362" i="1"/>
  <c r="F362" i="1"/>
  <c r="G362" i="1"/>
  <c r="H362" i="1"/>
  <c r="E363" i="1"/>
  <c r="F363" i="1"/>
  <c r="G363" i="1"/>
  <c r="H363" i="1"/>
  <c r="E364" i="1"/>
  <c r="F364" i="1"/>
  <c r="G364" i="1"/>
  <c r="H364" i="1"/>
  <c r="F365" i="1"/>
  <c r="G365" i="1"/>
  <c r="H365" i="1"/>
  <c r="E366" i="1"/>
  <c r="F366" i="1"/>
  <c r="G366" i="1"/>
  <c r="H366" i="1"/>
  <c r="E367" i="1"/>
  <c r="F367" i="1"/>
  <c r="G367" i="1"/>
  <c r="H367" i="1"/>
  <c r="E368" i="1"/>
  <c r="F368" i="1"/>
  <c r="G368" i="1"/>
  <c r="H368" i="1"/>
  <c r="E370" i="1"/>
  <c r="F370" i="1"/>
  <c r="G370" i="1"/>
  <c r="H370" i="1"/>
  <c r="E371" i="1"/>
  <c r="F371" i="1"/>
  <c r="G371" i="1"/>
  <c r="H371" i="1"/>
  <c r="E372" i="1"/>
  <c r="F372" i="1"/>
  <c r="G372" i="1"/>
  <c r="H372" i="1"/>
  <c r="F373" i="1"/>
  <c r="G373" i="1"/>
  <c r="H373" i="1"/>
  <c r="E374" i="1"/>
  <c r="F374" i="1"/>
  <c r="G374" i="1"/>
  <c r="H374" i="1"/>
  <c r="E376" i="1"/>
  <c r="F376" i="1"/>
  <c r="G376" i="1"/>
  <c r="H376" i="1"/>
  <c r="E377" i="1"/>
  <c r="F377" i="1"/>
  <c r="G377" i="1"/>
  <c r="H377" i="1"/>
  <c r="E378" i="1"/>
  <c r="F378" i="1"/>
  <c r="G378" i="1"/>
  <c r="H378" i="1"/>
  <c r="E380" i="1"/>
  <c r="F380" i="1"/>
  <c r="G380" i="1"/>
  <c r="H380" i="1"/>
  <c r="H381" i="1"/>
  <c r="H382" i="1"/>
  <c r="E536" i="1"/>
  <c r="F536" i="1"/>
  <c r="E662" i="1"/>
  <c r="G662" i="1"/>
  <c r="H662" i="1"/>
  <c r="G663" i="1"/>
  <c r="H663" i="1"/>
  <c r="H665" i="1"/>
  <c r="E646" i="1"/>
  <c r="F646" i="1"/>
  <c r="G646" i="1"/>
  <c r="H646" i="1"/>
  <c r="E647" i="1"/>
  <c r="F647" i="1"/>
  <c r="G647" i="1"/>
  <c r="H647" i="1"/>
  <c r="G648" i="1"/>
  <c r="H648" i="1"/>
  <c r="E649" i="1"/>
  <c r="G649" i="1"/>
  <c r="H649" i="1"/>
  <c r="H650" i="1"/>
  <c r="E652" i="1"/>
  <c r="G652" i="1"/>
  <c r="H652" i="1"/>
  <c r="H656" i="1"/>
  <c r="E657" i="1"/>
  <c r="F657" i="1"/>
  <c r="G657" i="1"/>
  <c r="H657" i="1"/>
  <c r="E658" i="1"/>
  <c r="F658" i="1"/>
  <c r="G658" i="1"/>
  <c r="H658" i="1"/>
  <c r="E659" i="1"/>
  <c r="F659" i="1"/>
  <c r="G659" i="1"/>
  <c r="H659" i="1"/>
  <c r="H660" i="1"/>
  <c r="E677" i="1"/>
  <c r="F677" i="1"/>
  <c r="G677" i="1"/>
  <c r="H677" i="1"/>
  <c r="F678" i="1"/>
  <c r="G678" i="1"/>
  <c r="H678" i="1"/>
  <c r="E679" i="1"/>
  <c r="F679" i="1"/>
  <c r="G679" i="1"/>
  <c r="H679" i="1"/>
  <c r="F680" i="1"/>
  <c r="G680" i="1"/>
  <c r="H680" i="1"/>
  <c r="H681" i="1"/>
  <c r="H682" i="1"/>
  <c r="G595" i="1"/>
  <c r="H595" i="1"/>
  <c r="G596" i="1"/>
  <c r="H596" i="1"/>
  <c r="H597" i="1"/>
  <c r="G598" i="1"/>
  <c r="H598" i="1"/>
  <c r="G599" i="1"/>
  <c r="H599" i="1"/>
  <c r="G600" i="1"/>
  <c r="H600" i="1"/>
  <c r="E601" i="1"/>
  <c r="F601" i="1"/>
  <c r="G601" i="1"/>
  <c r="H601" i="1"/>
  <c r="E602" i="1"/>
  <c r="F602" i="1"/>
  <c r="G602" i="1"/>
  <c r="H602" i="1"/>
  <c r="H603" i="1"/>
  <c r="H604" i="1"/>
  <c r="E605" i="1"/>
  <c r="F605" i="1"/>
  <c r="G605" i="1"/>
  <c r="H605" i="1"/>
  <c r="E606" i="1"/>
  <c r="F606" i="1"/>
  <c r="G606" i="1"/>
  <c r="H606" i="1"/>
  <c r="E607" i="1"/>
  <c r="F607" i="1"/>
  <c r="G607" i="1"/>
  <c r="H607" i="1"/>
  <c r="E608" i="1"/>
  <c r="F608" i="1"/>
  <c r="G608" i="1"/>
  <c r="H608" i="1"/>
  <c r="E609" i="1"/>
  <c r="F609" i="1"/>
  <c r="G609" i="1"/>
  <c r="H609" i="1"/>
  <c r="C610" i="1"/>
  <c r="E610" i="1"/>
  <c r="F610" i="1"/>
  <c r="G610" i="1"/>
  <c r="H610" i="1"/>
  <c r="C611" i="1"/>
  <c r="E611" i="1"/>
  <c r="G611" i="1"/>
  <c r="H611" i="1"/>
  <c r="E612" i="1"/>
  <c r="G612" i="1"/>
  <c r="H612" i="1"/>
  <c r="C613" i="1"/>
  <c r="E613" i="1"/>
  <c r="G613" i="1"/>
  <c r="H613" i="1"/>
  <c r="H614" i="1"/>
  <c r="H620" i="1"/>
  <c r="E621" i="1"/>
  <c r="G621" i="1"/>
  <c r="H621" i="1"/>
  <c r="E622" i="1"/>
  <c r="G622" i="1"/>
  <c r="H622" i="1"/>
  <c r="G623" i="1"/>
  <c r="H623" i="1"/>
  <c r="H624" i="1"/>
  <c r="G635" i="1"/>
  <c r="H635" i="1"/>
  <c r="E636" i="1"/>
  <c r="G636" i="1"/>
  <c r="H636" i="1"/>
  <c r="G637" i="1"/>
  <c r="H637" i="1"/>
  <c r="H642" i="1"/>
  <c r="H686" i="1"/>
  <c r="H687" i="1"/>
  <c r="H688" i="1"/>
  <c r="H689" i="1"/>
  <c r="H690" i="1"/>
  <c r="H691" i="1"/>
  <c r="H692" i="1"/>
  <c r="H699" i="1"/>
  <c r="H700" i="1"/>
  <c r="H701" i="1"/>
  <c r="G536" i="1"/>
  <c r="H536" i="1"/>
  <c r="C528" i="1"/>
  <c r="G527" i="1"/>
  <c r="G528" i="1"/>
  <c r="H528" i="1"/>
  <c r="E529" i="1"/>
  <c r="F529" i="1"/>
  <c r="G529" i="1"/>
  <c r="H529" i="1"/>
  <c r="E533" i="1"/>
  <c r="F533" i="1"/>
  <c r="G533" i="1"/>
  <c r="H533" i="1"/>
  <c r="E535" i="1"/>
  <c r="F535" i="1"/>
  <c r="G535" i="1"/>
  <c r="H535" i="1"/>
  <c r="E537" i="1"/>
  <c r="F537" i="1"/>
  <c r="G537" i="1"/>
  <c r="H537" i="1"/>
  <c r="E538" i="1"/>
  <c r="F538" i="1"/>
  <c r="G538" i="1"/>
  <c r="H538" i="1"/>
  <c r="E539" i="1"/>
  <c r="F539" i="1"/>
  <c r="G539" i="1"/>
  <c r="H539" i="1"/>
  <c r="E540" i="1"/>
  <c r="F540" i="1"/>
  <c r="G540" i="1"/>
  <c r="H540" i="1"/>
  <c r="E541" i="1"/>
  <c r="F541" i="1"/>
  <c r="G541" i="1"/>
  <c r="H541" i="1"/>
  <c r="H542" i="1"/>
  <c r="E545" i="1"/>
  <c r="F545" i="1"/>
  <c r="G545" i="1"/>
  <c r="H545" i="1"/>
  <c r="E548" i="1"/>
  <c r="F548" i="1"/>
  <c r="G548" i="1"/>
  <c r="H548" i="1"/>
  <c r="E550" i="1"/>
  <c r="F550" i="1"/>
  <c r="G550" i="1"/>
  <c r="H550" i="1"/>
  <c r="E551" i="1"/>
  <c r="F551" i="1"/>
  <c r="G551" i="1"/>
  <c r="H551" i="1"/>
  <c r="E552" i="1"/>
  <c r="F552" i="1"/>
  <c r="G552" i="1"/>
  <c r="H552" i="1"/>
  <c r="H555" i="1"/>
  <c r="E565" i="1"/>
  <c r="G565" i="1"/>
  <c r="H565" i="1"/>
  <c r="E566" i="1"/>
  <c r="G566" i="1"/>
  <c r="H566" i="1"/>
  <c r="E567" i="1"/>
  <c r="G567" i="1"/>
  <c r="H567" i="1"/>
  <c r="E569" i="1"/>
  <c r="G569" i="1"/>
  <c r="H569" i="1"/>
  <c r="E570" i="1"/>
  <c r="F570" i="1"/>
  <c r="G570" i="1"/>
  <c r="H570" i="1"/>
  <c r="E572" i="1"/>
  <c r="G572" i="1"/>
  <c r="H572" i="1"/>
  <c r="E574" i="1"/>
  <c r="F574" i="1"/>
  <c r="G574" i="1"/>
  <c r="H574" i="1"/>
  <c r="E575" i="1"/>
  <c r="F575" i="1"/>
  <c r="G575" i="1"/>
  <c r="H575" i="1"/>
  <c r="E576" i="1"/>
  <c r="F576" i="1"/>
  <c r="G576" i="1"/>
  <c r="H576" i="1"/>
  <c r="F577" i="1"/>
  <c r="G577" i="1"/>
  <c r="H577" i="1"/>
  <c r="H578" i="1"/>
  <c r="E581" i="1"/>
  <c r="G581" i="1"/>
  <c r="H581" i="1"/>
  <c r="E583" i="1"/>
  <c r="G583" i="1"/>
  <c r="H583" i="1"/>
  <c r="G584" i="1"/>
  <c r="H584" i="1"/>
  <c r="E585" i="1"/>
  <c r="G585" i="1"/>
  <c r="H585" i="1"/>
  <c r="G587" i="1"/>
  <c r="H587" i="1"/>
  <c r="G588" i="1"/>
  <c r="H588" i="1"/>
  <c r="E589" i="1"/>
  <c r="F589" i="1"/>
  <c r="G589" i="1"/>
  <c r="H589" i="1"/>
  <c r="H590" i="1"/>
  <c r="H591" i="1"/>
  <c r="G665" i="1"/>
  <c r="G645" i="1"/>
  <c r="G650" i="1"/>
  <c r="G656" i="1"/>
  <c r="G660" i="1"/>
  <c r="G681" i="1"/>
  <c r="G682" i="1"/>
  <c r="G597" i="1"/>
  <c r="G603" i="1"/>
  <c r="G604" i="1"/>
  <c r="G614" i="1"/>
  <c r="G620" i="1"/>
  <c r="G624" i="1"/>
  <c r="G642" i="1"/>
  <c r="G700" i="1"/>
  <c r="G701" i="1"/>
  <c r="G542" i="1"/>
  <c r="G555" i="1"/>
  <c r="G578" i="1"/>
  <c r="G590" i="1"/>
  <c r="G591" i="1"/>
  <c r="G119" i="1"/>
  <c r="G118" i="1"/>
  <c r="G12" i="1"/>
  <c r="G14" i="1"/>
  <c r="G22" i="1"/>
  <c r="G26" i="1"/>
  <c r="G35" i="1"/>
  <c r="G42" i="1"/>
  <c r="F45" i="1"/>
  <c r="G45" i="1"/>
  <c r="F46" i="1"/>
  <c r="G46" i="1"/>
  <c r="G48" i="1"/>
  <c r="G52" i="1"/>
  <c r="E7" i="1"/>
  <c r="F7" i="1"/>
  <c r="G7" i="1"/>
  <c r="G8" i="1"/>
  <c r="F14" i="1"/>
  <c r="F22" i="1"/>
  <c r="F26" i="1"/>
  <c r="F35" i="1"/>
  <c r="F42" i="1"/>
  <c r="F48" i="1"/>
  <c r="F50" i="1"/>
  <c r="F52" i="1"/>
  <c r="F8" i="1"/>
  <c r="E14" i="1"/>
  <c r="E22" i="1"/>
  <c r="E26" i="1"/>
  <c r="E35" i="1"/>
  <c r="E42" i="1"/>
  <c r="E48" i="1"/>
  <c r="E52" i="1"/>
  <c r="E8" i="1"/>
  <c r="C14" i="1"/>
  <c r="C22" i="1"/>
  <c r="C26" i="1"/>
  <c r="C35" i="1"/>
  <c r="C42" i="1"/>
  <c r="C48" i="1"/>
  <c r="C52" i="1"/>
  <c r="C8" i="1"/>
  <c r="E664" i="1"/>
  <c r="G705" i="1"/>
  <c r="G710" i="1"/>
  <c r="G711" i="1"/>
  <c r="F528" i="1"/>
  <c r="F542" i="1"/>
  <c r="F555" i="1"/>
  <c r="F578" i="1"/>
  <c r="F590" i="1"/>
  <c r="F591" i="1"/>
  <c r="F597" i="1"/>
  <c r="F614" i="1"/>
  <c r="F620" i="1"/>
  <c r="F624" i="1"/>
  <c r="F642" i="1"/>
  <c r="F650" i="1"/>
  <c r="F656" i="1"/>
  <c r="F660" i="1"/>
  <c r="F665" i="1"/>
  <c r="F681" i="1"/>
  <c r="F682" i="1"/>
  <c r="F700" i="1"/>
  <c r="F701" i="1"/>
  <c r="F710" i="1"/>
  <c r="F711" i="1"/>
  <c r="C542" i="1"/>
  <c r="C555" i="1"/>
  <c r="C578" i="1"/>
  <c r="C590" i="1"/>
  <c r="C591" i="1"/>
  <c r="C597" i="1"/>
  <c r="C614" i="1"/>
  <c r="C620" i="1"/>
  <c r="C624" i="1"/>
  <c r="C642" i="1"/>
  <c r="C650" i="1"/>
  <c r="C656" i="1"/>
  <c r="C660" i="1"/>
  <c r="C665" i="1"/>
  <c r="C681" i="1"/>
  <c r="C682" i="1"/>
  <c r="C700" i="1"/>
  <c r="C701" i="1"/>
  <c r="C706" i="1"/>
  <c r="C710" i="1"/>
  <c r="C711" i="1"/>
  <c r="H705" i="1"/>
  <c r="H706" i="1"/>
  <c r="H710" i="1"/>
  <c r="H711" i="1"/>
  <c r="E689" i="1"/>
  <c r="E687" i="1"/>
  <c r="E688" i="1"/>
  <c r="E690" i="1"/>
  <c r="E691" i="1"/>
  <c r="E692" i="1"/>
  <c r="E693" i="1"/>
  <c r="E694" i="1"/>
  <c r="E695" i="1"/>
  <c r="E699" i="1"/>
  <c r="E700" i="1"/>
  <c r="E620" i="1"/>
  <c r="E624" i="1"/>
  <c r="E642" i="1"/>
  <c r="E645" i="1"/>
  <c r="E650" i="1"/>
  <c r="E656" i="1"/>
  <c r="E660" i="1"/>
  <c r="E665" i="1"/>
  <c r="E681" i="1"/>
  <c r="E682" i="1"/>
  <c r="E701" i="1"/>
  <c r="E528" i="1"/>
  <c r="E542" i="1"/>
  <c r="E555" i="1"/>
  <c r="E578" i="1"/>
  <c r="E590" i="1"/>
  <c r="E591" i="1"/>
  <c r="E710" i="1"/>
  <c r="E711" i="1"/>
  <c r="G483" i="1"/>
  <c r="G484" i="1"/>
  <c r="G485" i="1"/>
  <c r="G491" i="1"/>
  <c r="G494" i="1"/>
  <c r="G495" i="1"/>
  <c r="G502" i="1"/>
  <c r="G508" i="1"/>
  <c r="G512" i="1"/>
  <c r="G513" i="1"/>
  <c r="G514" i="1"/>
  <c r="G521" i="1"/>
  <c r="G522" i="1"/>
  <c r="G523" i="1"/>
  <c r="F480" i="1"/>
  <c r="F491" i="1"/>
  <c r="F495" i="1"/>
  <c r="F502" i="1"/>
  <c r="F508" i="1"/>
  <c r="F514" i="1"/>
  <c r="F522" i="1"/>
  <c r="F523" i="1"/>
  <c r="C489" i="1"/>
  <c r="C491" i="1"/>
  <c r="C495" i="1"/>
  <c r="C502" i="1"/>
  <c r="C508" i="1"/>
  <c r="C514" i="1"/>
  <c r="C522" i="1"/>
  <c r="C523" i="1"/>
  <c r="E405" i="1"/>
  <c r="E408" i="1"/>
  <c r="E419" i="1"/>
  <c r="E427" i="1"/>
  <c r="E440" i="1"/>
  <c r="E452" i="1"/>
  <c r="E476" i="1"/>
  <c r="E477" i="1"/>
  <c r="C405" i="1"/>
  <c r="C419" i="1"/>
  <c r="C427" i="1"/>
  <c r="C440" i="1"/>
  <c r="C452" i="1"/>
  <c r="C476" i="1"/>
  <c r="C477" i="1"/>
  <c r="G161" i="1"/>
  <c r="G172" i="1"/>
  <c r="F210" i="1"/>
  <c r="G210" i="1"/>
  <c r="G219" i="1"/>
  <c r="G228" i="1"/>
  <c r="G262" i="1"/>
  <c r="G278" i="1"/>
  <c r="G284" i="1"/>
  <c r="G302" i="1"/>
  <c r="G322" i="1"/>
  <c r="G328" i="1"/>
  <c r="G340" i="1"/>
  <c r="G381" i="1"/>
  <c r="G382" i="1"/>
  <c r="F161" i="1"/>
  <c r="F172" i="1"/>
  <c r="F219" i="1"/>
  <c r="F228" i="1"/>
  <c r="F262" i="1"/>
  <c r="F278" i="1"/>
  <c r="F284" i="1"/>
  <c r="F302" i="1"/>
  <c r="F322" i="1"/>
  <c r="F328" i="1"/>
  <c r="F340" i="1"/>
  <c r="F381" i="1"/>
  <c r="F382" i="1"/>
  <c r="E161" i="1"/>
  <c r="E172" i="1"/>
  <c r="E219" i="1"/>
  <c r="E228" i="1"/>
  <c r="E262" i="1"/>
  <c r="E278" i="1"/>
  <c r="E284" i="1"/>
  <c r="E302" i="1"/>
  <c r="E322" i="1"/>
  <c r="E328" i="1"/>
  <c r="E340" i="1"/>
  <c r="E381" i="1"/>
  <c r="E382" i="1"/>
  <c r="C161" i="1"/>
  <c r="C172" i="1"/>
  <c r="C219" i="1"/>
  <c r="C228" i="1"/>
  <c r="C262" i="1"/>
  <c r="C278" i="1"/>
  <c r="C284" i="1"/>
  <c r="C302" i="1"/>
  <c r="C322" i="1"/>
  <c r="C328" i="1"/>
  <c r="C340" i="1"/>
  <c r="C381" i="1"/>
  <c r="C382" i="1"/>
  <c r="H61" i="1"/>
  <c r="H62" i="1"/>
  <c r="C63" i="1"/>
  <c r="H63" i="1"/>
  <c r="H65" i="1"/>
  <c r="E68" i="1"/>
  <c r="F68" i="1"/>
  <c r="G68" i="1"/>
  <c r="H68" i="1"/>
  <c r="E69" i="1"/>
  <c r="F69" i="1"/>
  <c r="G69" i="1"/>
  <c r="H69" i="1"/>
  <c r="E70" i="1"/>
  <c r="G70" i="1"/>
  <c r="H70" i="1"/>
  <c r="E71" i="1"/>
  <c r="G71" i="1"/>
  <c r="H71" i="1"/>
  <c r="E72" i="1"/>
  <c r="F72" i="1"/>
  <c r="G72" i="1"/>
  <c r="H72" i="1"/>
  <c r="E73" i="1"/>
  <c r="F73" i="1"/>
  <c r="G73" i="1"/>
  <c r="H73" i="1"/>
  <c r="H74" i="1"/>
  <c r="H75" i="1"/>
  <c r="G77" i="1"/>
  <c r="H77" i="1"/>
  <c r="F78" i="1"/>
  <c r="G78" i="1"/>
  <c r="H78" i="1"/>
  <c r="E79" i="1"/>
  <c r="F79" i="1"/>
  <c r="G79" i="1"/>
  <c r="H79" i="1"/>
  <c r="E80" i="1"/>
  <c r="F80" i="1"/>
  <c r="G80" i="1"/>
  <c r="H80" i="1"/>
  <c r="E81" i="1"/>
  <c r="F81" i="1"/>
  <c r="G81" i="1"/>
  <c r="H81" i="1"/>
  <c r="E82" i="1"/>
  <c r="F82" i="1"/>
  <c r="G82" i="1"/>
  <c r="H82" i="1"/>
  <c r="E83" i="1"/>
  <c r="F83" i="1"/>
  <c r="G83" i="1"/>
  <c r="H83" i="1"/>
  <c r="E84" i="1"/>
  <c r="F84" i="1"/>
  <c r="G84" i="1"/>
  <c r="H84" i="1"/>
  <c r="E85" i="1"/>
  <c r="F85" i="1"/>
  <c r="G85" i="1"/>
  <c r="H85" i="1"/>
  <c r="E86" i="1"/>
  <c r="F86" i="1"/>
  <c r="G86" i="1"/>
  <c r="H86" i="1"/>
  <c r="E87" i="1"/>
  <c r="F87" i="1"/>
  <c r="G87" i="1"/>
  <c r="H87" i="1"/>
  <c r="E88" i="1"/>
  <c r="F88" i="1"/>
  <c r="G88" i="1"/>
  <c r="H88" i="1"/>
  <c r="E89" i="1"/>
  <c r="F89" i="1"/>
  <c r="G89" i="1"/>
  <c r="H89" i="1"/>
  <c r="E90" i="1"/>
  <c r="F90" i="1"/>
  <c r="G90" i="1"/>
  <c r="H90" i="1"/>
  <c r="E91" i="1"/>
  <c r="F91" i="1"/>
  <c r="G91" i="1"/>
  <c r="H91" i="1"/>
  <c r="E92" i="1"/>
  <c r="F92" i="1"/>
  <c r="G92" i="1"/>
  <c r="H92" i="1"/>
  <c r="E93" i="1"/>
  <c r="F93" i="1"/>
  <c r="G93" i="1"/>
  <c r="H93" i="1"/>
  <c r="E94" i="1"/>
  <c r="F94" i="1"/>
  <c r="G94" i="1"/>
  <c r="H94" i="1"/>
  <c r="E95" i="1"/>
  <c r="F95" i="1"/>
  <c r="G95" i="1"/>
  <c r="H95" i="1"/>
  <c r="E96" i="1"/>
  <c r="F96" i="1"/>
  <c r="G96" i="1"/>
  <c r="H96" i="1"/>
  <c r="E97" i="1"/>
  <c r="F97" i="1"/>
  <c r="G97" i="1"/>
  <c r="H97" i="1"/>
  <c r="E98" i="1"/>
  <c r="F98" i="1"/>
  <c r="G98" i="1"/>
  <c r="H98" i="1"/>
  <c r="E99" i="1"/>
  <c r="F99" i="1"/>
  <c r="G99" i="1"/>
  <c r="H99" i="1"/>
  <c r="E100" i="1"/>
  <c r="F100" i="1"/>
  <c r="G100" i="1"/>
  <c r="H100" i="1"/>
  <c r="E101" i="1"/>
  <c r="F101" i="1"/>
  <c r="G101" i="1"/>
  <c r="H101" i="1"/>
  <c r="E102" i="1"/>
  <c r="F102" i="1"/>
  <c r="G102" i="1"/>
  <c r="H102" i="1"/>
  <c r="H103" i="1"/>
  <c r="G103" i="1"/>
  <c r="G74" i="1"/>
  <c r="G75" i="1"/>
  <c r="F103" i="1"/>
  <c r="F74" i="1"/>
  <c r="F75" i="1"/>
  <c r="E103" i="1"/>
  <c r="C103" i="1"/>
  <c r="C74" i="1"/>
  <c r="C75" i="1"/>
  <c r="C65" i="1"/>
  <c r="E74" i="1"/>
  <c r="E75" i="1"/>
  <c r="E491" i="1"/>
  <c r="E495" i="1"/>
  <c r="E523" i="1"/>
  <c r="H526" i="1"/>
  <c r="H527" i="1"/>
  <c r="H7" i="1"/>
  <c r="H8" i="1"/>
  <c r="G490" i="1"/>
  <c r="H490" i="1"/>
  <c r="G489" i="1"/>
  <c r="H510" i="1"/>
  <c r="H501" i="1"/>
  <c r="H500" i="1"/>
  <c r="H499" i="1"/>
  <c r="H498" i="1"/>
  <c r="H502" i="1"/>
  <c r="H508" i="1"/>
  <c r="H512" i="1"/>
  <c r="H513" i="1"/>
  <c r="H514" i="1"/>
  <c r="H482" i="1"/>
  <c r="H481" i="1"/>
  <c r="H485" i="1"/>
  <c r="H494" i="1"/>
  <c r="H521" i="1"/>
  <c r="H522" i="1"/>
  <c r="G17" i="1"/>
  <c r="G29" i="1"/>
  <c r="H480" i="1"/>
  <c r="H483" i="1"/>
  <c r="H489" i="1"/>
  <c r="H26" i="1"/>
  <c r="H484" i="1"/>
  <c r="H491" i="1"/>
  <c r="H495" i="1"/>
  <c r="H523" i="1"/>
</calcChain>
</file>

<file path=xl/sharedStrings.xml><?xml version="1.0" encoding="utf-8"?>
<sst xmlns="http://schemas.openxmlformats.org/spreadsheetml/2006/main" count="714" uniqueCount="563">
  <si>
    <t xml:space="preserve"> %</t>
  </si>
  <si>
    <t>ACC. D'ES.</t>
  </si>
  <si>
    <t>ACC.PREC.</t>
  </si>
  <si>
    <t>TOT.ACC.</t>
  </si>
  <si>
    <t xml:space="preserve">VALORE </t>
  </si>
  <si>
    <t>RESIDUO</t>
  </si>
  <si>
    <t xml:space="preserve"> 09/01- 1 Demineralizzatore (pr.257 Juclass)</t>
  </si>
  <si>
    <t xml:space="preserve"> - Cespiti presso negozio Pordenone</t>
  </si>
  <si>
    <t xml:space="preserve"> - Cespiti presso negozio Maniago</t>
  </si>
  <si>
    <t>VALORE</t>
  </si>
  <si>
    <t>%</t>
  </si>
  <si>
    <t xml:space="preserve"> - Cespiti presso neg. Pordenone</t>
  </si>
  <si>
    <t>1 Tavolo mob.in met.(P372Ovio)</t>
  </si>
  <si>
    <t>1 Sgabello in met.(P372 Ovio It.)</t>
  </si>
  <si>
    <t>1 Scaffale in abete (P396Zanette)</t>
  </si>
  <si>
    <t xml:space="preserve"> - Cespiti presso neg. Maniago</t>
  </si>
  <si>
    <t>1 Sgabello cashier (P187 SME)</t>
  </si>
  <si>
    <t xml:space="preserve"> - Cespiti presso neg. Tolmezzo</t>
  </si>
  <si>
    <t>* MACCHINE ELETTRONICHE D'UFFICIO</t>
  </si>
  <si>
    <t xml:space="preserve">           TOTALI</t>
  </si>
  <si>
    <t xml:space="preserve">IMMOBILIZZAZIONI IMMATERIALI </t>
  </si>
  <si>
    <t>Negozio di Pordenone (scad. 2007)</t>
  </si>
  <si>
    <t xml:space="preserve">          Totali neg. MA</t>
  </si>
  <si>
    <t xml:space="preserve">                        TOTALI b)</t>
  </si>
  <si>
    <t>a) TERRENI E PIAZZALI</t>
  </si>
  <si>
    <t>b) COSTI PLURIENNALI SU BENI DI TERZI</t>
  </si>
  <si>
    <t>(cespite non ammortizzabile)</t>
  </si>
  <si>
    <t>09.04 1 Monoblocco ST50U (P.313 Prefab.)</t>
  </si>
  <si>
    <t>(IMPIANTI E MACCHINARI)</t>
  </si>
  <si>
    <t>09.04 1 Idropul.usata HV150-15 (p.347Clean)</t>
  </si>
  <si>
    <t>07.03 1 Compressore da lt.100 (Set Elettr.)</t>
  </si>
  <si>
    <t>07.03 1 Compressore da lt.24 (set Elettr.)</t>
  </si>
  <si>
    <t>10.02 3 Longoni tramogge acc.inox (Rover)</t>
  </si>
  <si>
    <t>07/02 2 Camini inox p.centr.term.(Bovo R.)</t>
  </si>
  <si>
    <t>06/02 1 Dosatore PH per depurat. (D.V.srl)</t>
  </si>
  <si>
    <t>02/02 1 Compress. da 3 hl.(Imm.S.Cipriano)</t>
  </si>
  <si>
    <t>12.04 Imp.telefoni int. DKK n. 7 (Sitel srl)</t>
  </si>
  <si>
    <t>03.05 Imp.linea P.C. spaccio (E.E.Toffoli)</t>
  </si>
  <si>
    <t>03.05 Imp.linea P.C. spaccio (Toffoli Lino)</t>
  </si>
  <si>
    <t>03.05 Imp.CO2 dep. Neg. Sede (Eno Serv.)</t>
  </si>
  <si>
    <t>05.05 Imp.idrico centrif.e serbatoi (Bovo R.)</t>
  </si>
  <si>
    <t>06.05 n.8 erogat.vino man.Enosap. (Eno S.)</t>
  </si>
  <si>
    <t xml:space="preserve">   </t>
  </si>
  <si>
    <t xml:space="preserve">   Trasporto e scarico serb. (Aut.Lavina)</t>
  </si>
  <si>
    <t>11/01 6 Distribut.con verif.metrica (SIES)</t>
  </si>
  <si>
    <t>10/01 7 Serbatoi acc.inox  (Cadalpe Serv.)</t>
  </si>
  <si>
    <t>11/01 1 Macc.lavapav.Cleanfix (Frog Center)</t>
  </si>
  <si>
    <t>11/01 1 Pompa per vino G90 (Ever srl)</t>
  </si>
  <si>
    <t xml:space="preserve"> * Cespiti presso NEG. DI MANIAGO</t>
  </si>
  <si>
    <t xml:space="preserve"> * Cespiti presso NEG. DI TOLMEZZO</t>
  </si>
  <si>
    <t xml:space="preserve"> * Cespiti presso NEG. DI PORDENONE</t>
  </si>
  <si>
    <t xml:space="preserve"> - Cespiti presso negozio Tolmezzo (UD)</t>
  </si>
  <si>
    <t>07/05 n.1 lavadamigiane acc. (SIES)</t>
  </si>
  <si>
    <t>07/05 n.1 sedia bordo' con rot. (M.Trentac.)</t>
  </si>
  <si>
    <t>04/05 n.2 scaffali in abete (Fal.Zanette G.)</t>
  </si>
  <si>
    <t>09.03 1 Sonda preleva camp.acc. (D.V.srl)</t>
  </si>
  <si>
    <t>05.04 1 Coclea orizz.silos vinaccia (D.V.srl)</t>
  </si>
  <si>
    <t>05.04 Erogatore a spina mobile (Interfer)</t>
  </si>
  <si>
    <t>05.04 Base in legno erog.spina (Fal.Zanette)</t>
  </si>
  <si>
    <t>11/01- 6 Porta erogatori in acc. (Pr.336 SIES)</t>
  </si>
  <si>
    <t>09.05 Protez.in gomma tramogge</t>
  </si>
  <si>
    <t>06.06 1 Pompa vino 5NCMINV(Ragazzini)</t>
  </si>
  <si>
    <t>06.06 1 Pesa da m.14 con term.(SCBilanciai</t>
  </si>
  <si>
    <t>06.06 1 Pressa VS250 (Siprem Intern.)</t>
  </si>
  <si>
    <t>07.06 Scarico e posizion. Pressa (Costella)</t>
  </si>
  <si>
    <t>08.06 Basamento pressa+passerel.(O.Rover</t>
  </si>
  <si>
    <t>07.06 2 Vinificatori XSYC (Gimar Tecno)</t>
  </si>
  <si>
    <t>08.06 Scarico e posizion.vinific. (Costella D.)</t>
  </si>
  <si>
    <t xml:space="preserve">                   Totali da riportare</t>
  </si>
  <si>
    <t xml:space="preserve">                   Totali a riporto</t>
  </si>
  <si>
    <t>11/01 1Gruppo cont.Plurys 400VA (E.E.Toff.</t>
  </si>
  <si>
    <t>06/03 3 Fondi botte lav. (P.149-Toffoli C.)</t>
  </si>
  <si>
    <t>08/03 6 Distrib.autom.+colleg.(P207 SIES)</t>
  </si>
  <si>
    <t>08/03 6 Serbatoi inox da 15 hl (Eno Service)</t>
  </si>
  <si>
    <t>08/03 Impianto CO2 (P.211 Eno Service)</t>
  </si>
  <si>
    <t>03/04 4 Fondi botte lav.(P83 Veneta Botti)</t>
  </si>
  <si>
    <t>06/04 8 Distrib.autom.+colleg.(P179 SIES)</t>
  </si>
  <si>
    <t>06/04 Impianto CO2 (P.178 Eno Service)</t>
  </si>
  <si>
    <t>07/04 8 Serbatoi inox da 15 hl(P158 Gortani)</t>
  </si>
  <si>
    <t>07/04 4 Serbatoi inox da 20 hl(P158 Gortani)</t>
  </si>
  <si>
    <t>08/04 8 Distrib.autom.+colleg.(P273 SIES)</t>
  </si>
  <si>
    <t>08/04 Impianto CO2 (P.292 Eno Service)</t>
  </si>
  <si>
    <t>11/05 n.2 piani circol.in abete (Fal.Zanette)</t>
  </si>
  <si>
    <t>06/05 1 banco vendita p.Enosapori (Zanette)</t>
  </si>
  <si>
    <t>9-11.96 1 Filtro a dischi orizz.+allac.(Cadalp</t>
  </si>
  <si>
    <t>11.96 1 Compressore Fini m.Tiger(773Giust)</t>
  </si>
  <si>
    <t>09.97 1 Scioglitore acc. Inox (p.180Cadalpe)</t>
  </si>
  <si>
    <t>12.97 1 Apparecchio Alcolombi (Enomarca)</t>
  </si>
  <si>
    <t>12.97 1 Elimina code spaccio (847Balducci)</t>
  </si>
  <si>
    <t>05.98 1 Filtro a candele (Pr.504 Bisaro)</t>
  </si>
  <si>
    <t>05.98 1 Phmetro da labor. (Pr.504 Bisaro)</t>
  </si>
  <si>
    <t>6/7.98 1 Elettrop.2C600+invert.(511Manzini)</t>
  </si>
  <si>
    <t>6/7.98 1 Pressa VS250+instal.(522 Siprem)</t>
  </si>
  <si>
    <t>08.98 Passerelle e coclee pressa(567 Rover)</t>
  </si>
  <si>
    <t>07.98 1 Serb.termov.modif. (Pr.552 Cadalpe)</t>
  </si>
  <si>
    <t>08.98 1 Refriger. per vinific.(Pr.552 Cadalpe)</t>
  </si>
  <si>
    <t>08.98 1 Trasform.p.cabina el.(Pr.568 Toffoli)</t>
  </si>
  <si>
    <t>08.98 Adeguam.imp.elettr. (Pr.568 Toffoli)</t>
  </si>
  <si>
    <t>08.98 Nolo piattaforma p.vinif.(P534Rossetto)</t>
  </si>
  <si>
    <t>08.98 Piastre di basam. 6 vin.(P554Rover)</t>
  </si>
  <si>
    <t>09.98 6 Vinific.C780/650 acc.(P582Gimar T.)</t>
  </si>
  <si>
    <t>09.98 Impianto condiz.raffred.(P598 Bovo R.)</t>
  </si>
  <si>
    <t>10.98 Collaudo vinificatori (Pr.712 Ing.Quaia)</t>
  </si>
  <si>
    <t>06.99 Progetto e direz.lav.vinif.(159ST2Sardi)</t>
  </si>
  <si>
    <t>01.99 Imp.elettr.vinific. (Pr.30 Toffoli)</t>
  </si>
  <si>
    <t>05.99 Adeguam.imp.elettr.L626 (143 Toffoli)</t>
  </si>
  <si>
    <t>6/7.99 Prese e cavi imp.computers(156Toffol)</t>
  </si>
  <si>
    <t>05.99 1 Integratore p.laborat.(P187Eurisco D</t>
  </si>
  <si>
    <t>05.99 1 Comando pompa a dist.(Elettr.Serv.)</t>
  </si>
  <si>
    <t>03.00 2 Aeratori somm.depurat.(P48 D.V.) X</t>
  </si>
  <si>
    <t>05.00 Coibentazione tubi vinific.(P95 I.T.A) X</t>
  </si>
  <si>
    <t>05.00 CTR.Reg./le su riprist.danni (cespiti X)</t>
  </si>
  <si>
    <t>06.00 1 Refrigerat.est.C10/80 (P109Cadalpe)</t>
  </si>
  <si>
    <t>12.00 Collegam.elettr.refrig.C.(P332Toffoli)</t>
  </si>
  <si>
    <t>08.00 8 Vinificat.e passerel.(P156 Gimar T.)</t>
  </si>
  <si>
    <t>09.00 Montaggio vinific.autogru'(P183 PDZ)</t>
  </si>
  <si>
    <t>09.00 Montag.vinific.autogru'(P201Antoniolli)</t>
  </si>
  <si>
    <t>10.00 Imp.elettr.vinificat. (P202 Toffoli Lino)</t>
  </si>
  <si>
    <t>10.00 12 Valvole p.serb.termovin.(235Gimar)</t>
  </si>
  <si>
    <t>10.00 Imp.idrico e termico vinif.(P241Bovo R)</t>
  </si>
  <si>
    <t>10.00 Coibentaz.tubaz.vinific.(P259 I.T.A.)</t>
  </si>
  <si>
    <t>11.00 Collaudo opere (Pr. 276 Ing.Quaia)</t>
  </si>
  <si>
    <t>01.01 28 Coprivalvole in acc.(P18Olma Coib)</t>
  </si>
  <si>
    <t>04.01 Modif. su imp.depuraz.(P93 D.V. srl)</t>
  </si>
  <si>
    <t>07.01 Collaudo imp.vinificat.(P169ing.Pegolo)</t>
  </si>
  <si>
    <t>06.05 1 Lavadamig.elettr. (Pr.282 SIES)</t>
  </si>
  <si>
    <t>06.05 Impianto CO2 ( Pr.121 Eno Service)</t>
  </si>
  <si>
    <t>07.05 n.4 erogatori vino man. (351Eno Serv.)</t>
  </si>
  <si>
    <t>07.05 Imp.CO2 (Pr. 351 Eno Service)</t>
  </si>
  <si>
    <t>07.06 Impianto CO2 (P.323 Eno Service)</t>
  </si>
  <si>
    <t>07.06 n.4 erogat.vino man. (P.323 Eno Serv.)</t>
  </si>
  <si>
    <t xml:space="preserve">     Cespiti in comodato a Voelkermarkt (A) - "MICHEU SIEGLINDE"</t>
  </si>
  <si>
    <t>07.06 n.4 erogat.vino man. (P323 Eno Serv.)</t>
  </si>
  <si>
    <t>07/05 n.1 bilancia m.702 (P340 F.lli Fontana)</t>
  </si>
  <si>
    <t>06/06 n.8 serb.inox da hl.15 (P.241 Gortani)</t>
  </si>
  <si>
    <t>05/05 n.4 serb.inox da hl.15 (P.225 Gortani)</t>
  </si>
  <si>
    <t>06/05 n.1 lavadamig.elettr. (P.305 SIES)</t>
  </si>
  <si>
    <t xml:space="preserve">06/06 n.1 Lavadamig.el. (Pr.280 SIES srl) </t>
  </si>
  <si>
    <t>07/06 n.4 serb.inox da hl.15 (P.288 Gortani)</t>
  </si>
  <si>
    <t xml:space="preserve">   * Cespiti in comodato a Voelkermarkt (A) - "MICHEU SIEGLINDE"</t>
  </si>
  <si>
    <t xml:space="preserve">06/06 n.1 Lavadamig.el. (Pr.280 SIES) </t>
  </si>
  <si>
    <t xml:space="preserve">   * Cespiti in comodato ad Adria (RO) - "L'ANTICA BOTTE snc"</t>
  </si>
  <si>
    <t>09.06 1 Banco vendita con lav.(Pr.438 F.Zan)</t>
  </si>
  <si>
    <t>09.06  Scaffali esposiz.+mont.(438 F.Zanette</t>
  </si>
  <si>
    <t xml:space="preserve">          Totali neg. (RO)</t>
  </si>
  <si>
    <t>09.06 Coordinam.esecuz.lav.(P.393 Quorum)</t>
  </si>
  <si>
    <t>09.06 Sondaggi terreno (F. 32 Geo-Nord)</t>
  </si>
  <si>
    <t>09.06 Fondazioni capann. (F.126 Collodetto)</t>
  </si>
  <si>
    <t>09.06 Strutture metall.cap. (F.108 Off.Rover)</t>
  </si>
  <si>
    <t>09.06 Pannelli parete (F. 125 Off.Rover Livio)</t>
  </si>
  <si>
    <t>11.06 Collaudo stat.capan.(Pr.567 Ing.Quaia</t>
  </si>
  <si>
    <t>12.06 Accatastam.Capann.(Pr.609 g.Basso)</t>
  </si>
  <si>
    <t>12.06 Prog.direz.lav. (Pr.618 ST2 Sardi-Turc.</t>
  </si>
  <si>
    <t>04.07 Imp.elettr.apert.fin.(Pr.155 E.E.Toffoli)</t>
  </si>
  <si>
    <t>06.07 Box spogliatoio (Pr.271 Sedonati serr.)</t>
  </si>
  <si>
    <t xml:space="preserve">                                TOTALI c)</t>
  </si>
  <si>
    <t>09.06 Allacc.termoidr.2 vinific.(Pr.401 BovoR)</t>
  </si>
  <si>
    <t>10.06 Collegam.pesa (Pr.452 CDM Informat.)</t>
  </si>
  <si>
    <t>12.06 Modif.cabina elettr. (Pr.608 E.E.Toffoli</t>
  </si>
  <si>
    <t>04.07 Imp.semaforico (Pr.155 E.E.Toffoli)</t>
  </si>
  <si>
    <t>04.07 Imp. Coclea sc.pressa(Pr.155E.E.Toff.</t>
  </si>
  <si>
    <t>07.07 Imp.chiusura coclee uve(P309 O.Rover</t>
  </si>
  <si>
    <t>08.07 Imp.elettr. Allacc.coclee(P.421Toffoli)</t>
  </si>
  <si>
    <t>12.06 Impianto CO2 (Pr.611 Eno Service)</t>
  </si>
  <si>
    <t xml:space="preserve">     Cespiti in comodato ad Adria (RO) - " L'ANTICA BOTTE snc di Cesaretto Denis"</t>
  </si>
  <si>
    <t>12.06  4 Erogatori inox (Pr.611 Eno Service)</t>
  </si>
  <si>
    <t>06/07 Impianto a spina 6rub.(Pr.266 LaSpina</t>
  </si>
  <si>
    <t>11/06 n.10 serb.inox da hl.15 (Pr.536Gortani</t>
  </si>
  <si>
    <t>10/06 n.1 Lavadamig.elettr. (Pr.503 SIES)</t>
  </si>
  <si>
    <t>10/06 n.1 Gocciolat.damig. (Pr.503 SIES)</t>
  </si>
  <si>
    <t>11/06 n.1 Lavadamig.elettr. (Pr.566 SIES)</t>
  </si>
  <si>
    <t>02/07 n.2 Insegne lumin. (Pr.78 Berga snc)</t>
  </si>
  <si>
    <t>12.06 Imp.elettr.capann.(Pr.608 E.E.Toffoli)</t>
  </si>
  <si>
    <t xml:space="preserve">          Totali neg. (MZ)</t>
  </si>
  <si>
    <t xml:space="preserve">          Totali neg. (MI)</t>
  </si>
  <si>
    <t xml:space="preserve">    Saldo come da pag. 84 (mq.18.647+1/16)</t>
  </si>
  <si>
    <t>31.08.09 RIVALUTAZIONE DL 185/08</t>
  </si>
  <si>
    <t xml:space="preserve">    Saldo come da pag. 84 </t>
  </si>
  <si>
    <t xml:space="preserve"> 09/01-Gruppo contin. P.Maselli (P.252MC)</t>
  </si>
  <si>
    <t xml:space="preserve">02.00 3 Pompe rotho (Pr.390 Ragazzini) X   </t>
  </si>
  <si>
    <t>09.08 1 Flottatore (Pr.432 G.B.Project di Br)</t>
  </si>
  <si>
    <t>10.08 1 Filtro tangenz.(P.473 Bucher Vaslin)</t>
  </si>
  <si>
    <t>12.08 Imp. Videosorvegl.(P.585 Elettr.Allar.)</t>
  </si>
  <si>
    <t xml:space="preserve">              A) Cespiti in Sede: totali parziali</t>
  </si>
  <si>
    <t xml:space="preserve">         1 Parete divisoria (P.546 da Fil. A.)</t>
  </si>
  <si>
    <t xml:space="preserve">     Cespiti in comodato a Milano "ALL'ANTICA BOTTE di Gava Gilles" </t>
  </si>
  <si>
    <t xml:space="preserve">     Parziali cespiti in comodato a riporto</t>
  </si>
  <si>
    <t xml:space="preserve"> (ATTREZZATURE IND. E COMM.)</t>
  </si>
  <si>
    <t xml:space="preserve">            A) Cespiti in Sede: totali parziali</t>
  </si>
  <si>
    <t>07/09 n. 1 Insegna luminosa (P.381 Mattioli)</t>
  </si>
  <si>
    <t>11/05 n.1 Insegna monof.lum.(P.586-Bergo)</t>
  </si>
  <si>
    <t xml:space="preserve">   * Cespiti in comodato a Milano (MI) - "ALL'ANTICA BOTTE  di Gava G."</t>
  </si>
  <si>
    <t xml:space="preserve">        A) Cespiti in Sede: totali parziali</t>
  </si>
  <si>
    <t xml:space="preserve">     B) Cespiti presso ns. negozi: tot. parziali</t>
  </si>
  <si>
    <t>11/08 1 Scaffale in abete (P.546 Fil. Austria)</t>
  </si>
  <si>
    <t xml:space="preserve"> * Cespiti in comodato a Milano - "All'antica botte di Gava G."</t>
  </si>
  <si>
    <t xml:space="preserve">       C) Cespiti in comodato: totali parziali</t>
  </si>
  <si>
    <t>09/08 n.1 Notebook HP (P.442 Sky Link snc</t>
  </si>
  <si>
    <t>12/08 App.lab.Oenofoss c. (P.599 Enopiave)</t>
  </si>
  <si>
    <t xml:space="preserve">                       TOTALI a)</t>
  </si>
  <si>
    <t xml:space="preserve">                        TOTALI a)</t>
  </si>
  <si>
    <t xml:space="preserve">                                TOTALI b)</t>
  </si>
  <si>
    <t xml:space="preserve">          C) Cespiti in comodato: totali parziali</t>
  </si>
  <si>
    <t xml:space="preserve">                    TOTALI (A+B+C)</t>
  </si>
  <si>
    <t xml:space="preserve">   B) Cespiti presso i ns. negozi: tot. parziali</t>
  </si>
  <si>
    <t xml:space="preserve">         C) Cespiti in comodato: totali parziali</t>
  </si>
  <si>
    <t xml:space="preserve">           TOTALI (A+B+C)</t>
  </si>
  <si>
    <t xml:space="preserve">                     TOTALI (A+B+C)</t>
  </si>
  <si>
    <t>10.08 Arredo negozio (Pr.514 Eredi Zanette)</t>
  </si>
  <si>
    <t>11.08 Impianto elettr.(Pr.530 Elettrof.Galimb)</t>
  </si>
  <si>
    <t>04.09 Imp.elettr. neg.(Pr.183 Leroy Merlin It.)</t>
  </si>
  <si>
    <t>04.09 Parete div. Neg.(Pr.184 Sessa Mich.)</t>
  </si>
  <si>
    <t>01.09 Imp. Idrosanit.(Pr.28 Temodue snc)</t>
  </si>
  <si>
    <t>08.09 Condizionatore (Pr.429 Air Blu di Deia)</t>
  </si>
  <si>
    <t>CANTINA DI SACILE E FONT.DDA S.C.A.</t>
  </si>
  <si>
    <t xml:space="preserve"> CANTINA DI SACILE E FONTANAFREDDA S.C.A.</t>
  </si>
  <si>
    <t>CANTINA DI SACILE E FONTANAFREDDA S.C.A.</t>
  </si>
  <si>
    <t xml:space="preserve">    LIBRO CESPITI</t>
  </si>
  <si>
    <t>10.09 Bancone e scaff.(Pr.530Eredi Zanette)</t>
  </si>
  <si>
    <t>RIVALUTAZIONE 2009 (DL 185/08)</t>
  </si>
  <si>
    <t xml:space="preserve">    Saldo come da pag. 2, dettaglio: </t>
  </si>
  <si>
    <t>10.09 1 Compress. Mark RF50(P.511Euroc.)</t>
  </si>
  <si>
    <t>04.10 Imp.  allarme Bentel (Pr.155 GL Imp.)</t>
  </si>
  <si>
    <t xml:space="preserve">     Parziali cespiti in comodato da riportare</t>
  </si>
  <si>
    <t>05/04 7 Serbatoi inox da 15 hl(P158 Gortani)</t>
  </si>
  <si>
    <t>08/10 Fotocop. Triumph (P.365Sistema Uff.)</t>
  </si>
  <si>
    <t>11/09 Furgone Mercedes B.(Pr.604Germac.)</t>
  </si>
  <si>
    <t>04.07 1 scaffale ab. (Pr.190 Fal. Zanette)</t>
  </si>
  <si>
    <t>Neg. tipo franchising ad Adria (RO) - "L'ANTICA BOTTE snc di Cesaretto Denis"</t>
  </si>
  <si>
    <t>Neg. tipo franchising a Milano - "All'Antica Botte sas di Gava G."</t>
  </si>
  <si>
    <t>Negozio di Maniago (PN) Via S.Rocco (scad. 2016)</t>
  </si>
  <si>
    <t>03,11 Impianto elettrico (Pr.128 E.E.Toffoli)</t>
  </si>
  <si>
    <t>05,11 Impianto idrico (Pr. 208 Netto Diego)</t>
  </si>
  <si>
    <t>11.10 Ecostabili A100 (Pr.497 RS Service)</t>
  </si>
  <si>
    <t>08.11 Ripristino Software A100 (Pr.371 RS )</t>
  </si>
  <si>
    <t xml:space="preserve">     Cespiti in comodato a Cordenons (PN) "PASCOLI NORD-EST Soc.Coop."- Monastier (TV)</t>
  </si>
  <si>
    <t xml:space="preserve">    Cespiti in comodato a Castel di Godego (TV) - "PASCOLI NORD-EST S.Coop." - Monastier (TV)</t>
  </si>
  <si>
    <t xml:space="preserve">   * Cespiti in comodato a Cordenons (PN) - "PASCOLI NORD-EST Soc.Coop."</t>
  </si>
  <si>
    <t>04/11 n.1 Lavadamig. (Pr. 161 La Furlanina)</t>
  </si>
  <si>
    <t>07/11 tavolo espositore neg.(P.314Furlan srl)</t>
  </si>
  <si>
    <t>11/10 Note B. 15,6" Emachine (P.498 Metro)</t>
  </si>
  <si>
    <t>02/11 n.1 Misurat. fisc.Wincor(P.57Micro S.)</t>
  </si>
  <si>
    <t xml:space="preserve">     Cespiti in comodato a Cesano Maderno (MI) - "ENOTECA VINO E DINTORNI"</t>
  </si>
  <si>
    <t xml:space="preserve">   * Cespiti in comodato a Cesano Maderno (MI) - "ENOTECA VINO E DINTORNI"</t>
  </si>
  <si>
    <t xml:space="preserve"> * Cespiti in comodato a Cesano Maderno -"Enoteca Vino e Dintorni"</t>
  </si>
  <si>
    <t xml:space="preserve">   * Cespiti in comodato a Puos d'Alpago (BL) - "LA BOTTEGA DEL VINO di Notarstefano A."</t>
  </si>
  <si>
    <t xml:space="preserve">     Cespiti in comodato a Puos d'Alpago (BL) - "LA BOTTEGA DEL VINO di Notarstefano A."</t>
  </si>
  <si>
    <t xml:space="preserve">          Totali come da pag. 25 (2010/11)</t>
  </si>
  <si>
    <t xml:space="preserve">          Totali neg. PN</t>
  </si>
  <si>
    <t>8.03.12 Condiz.Delki (Pr.126Term. Netto D.)</t>
  </si>
  <si>
    <t>17.04.12 Contr. Nuovi vigneti ai soci (Acc.)</t>
  </si>
  <si>
    <t xml:space="preserve">              Totali parziali escluso rivalutazione</t>
  </si>
  <si>
    <t>08.09.11 Impianto mob.3 sp. (P.411 Interfer)</t>
  </si>
  <si>
    <t>13.09.11 Bombola 2k CO2 (P.423 Julia Gas)</t>
  </si>
  <si>
    <t>18.01.12 Impianto azoto (Pr.37 Eno Service)</t>
  </si>
  <si>
    <t xml:space="preserve">     Cespiti in comodato a Roveredo in P. (PN) "Soc.Agr. Conzato Augusto"</t>
  </si>
  <si>
    <t xml:space="preserve"> Cespiti ritirati da Negozi esterni</t>
  </si>
  <si>
    <t xml:space="preserve">   come da specifica a pag. 7 (2008/09)</t>
  </si>
  <si>
    <t xml:space="preserve">   come da specifica a pag. 19 (2009/10)</t>
  </si>
  <si>
    <t xml:space="preserve">  Saldo come da pag. 8 (2008/09)</t>
  </si>
  <si>
    <t>10.04.12 n.1 IPAD 3 apple 646(P.179 Digit)</t>
  </si>
  <si>
    <t xml:space="preserve">   Come da totali parziali a pag. 21 (2009-10)</t>
  </si>
  <si>
    <t>05.09.11 n1 Misur.fisc.Wincor(P.404MicroS)</t>
  </si>
  <si>
    <t>05.06.12 n1 St.EpsonFX2190 (P263 CAMU)</t>
  </si>
  <si>
    <t xml:space="preserve">   Come da totali parziali a pag. 22 (2009-10)</t>
  </si>
  <si>
    <t xml:space="preserve">                     Totali parziali</t>
  </si>
  <si>
    <t>(MACCHINE ELETTRONICHE D'UFFICIO)</t>
  </si>
  <si>
    <t>10/09 Mis.Fisc.Olivetti CFR (P.555 Bortol.)</t>
  </si>
  <si>
    <t xml:space="preserve">*MEZZI PER MOVIM. INTERNA E AUTOMEZZI </t>
  </si>
  <si>
    <t>* MOBILI E MACCHINE D'UFFICIO</t>
  </si>
  <si>
    <t xml:space="preserve">* ATTREZZATURA VARIA INFER. AD E.516 </t>
  </si>
  <si>
    <t xml:space="preserve">* ATTREZZATURE IND. E COMM. </t>
  </si>
  <si>
    <t xml:space="preserve">IMPIANTI E MACCHINARI </t>
  </si>
  <si>
    <t xml:space="preserve">b) FABBRICATI </t>
  </si>
  <si>
    <t xml:space="preserve">c) COSTRUZIONI LEGGERE </t>
  </si>
  <si>
    <t xml:space="preserve"> (p35)03/92 n.1 Stampante NEC P70 (Sipac)</t>
  </si>
  <si>
    <t xml:space="preserve"> (p35)12/98 n.1 Trattore per NEC P70(Sipac)</t>
  </si>
  <si>
    <t>a) COSTI DI RICERCA SVILUPPO E PUBBLICITA'</t>
  </si>
  <si>
    <t xml:space="preserve"> - Cespiti ritirati da negozi esterni:</t>
  </si>
  <si>
    <t xml:space="preserve"> * da negozio di Noventa Padovana</t>
  </si>
  <si>
    <t xml:space="preserve"> (pag.33) n. 1 P.C. HP + lic.acucobol (CDM)</t>
  </si>
  <si>
    <t xml:space="preserve"> (pag.33) n. 1 Video HP tft piatto (CDM)</t>
  </si>
  <si>
    <t xml:space="preserve"> (pag.33) n. 1 Stampante Epson LX 1170</t>
  </si>
  <si>
    <t xml:space="preserve"> * da negozio di Pordenone</t>
  </si>
  <si>
    <t>02/11 Arredo negozio (Pr.88 Manfè Fulvio)</t>
  </si>
  <si>
    <t>Neg. tipo franchising a Missaglia (LC) - Pablos Bar di Puleo Salvatore (Ritirati in Sede nel 2012)</t>
  </si>
  <si>
    <t xml:space="preserve">   * Cespiti in comodato a Cinisello Balsamo (MI) - "LA BOTTEGA DEL VINO sas di Pesce S."</t>
  </si>
  <si>
    <t xml:space="preserve">   * Cespiti in comodato a Castel di Godego (TV) - "PASCOLI NORD-EST S.Coop."</t>
  </si>
  <si>
    <t xml:space="preserve"> * Cespiti in comodato a Puos d'Alpago (BL) - "La Bottega del Vino di Notarstefano A."</t>
  </si>
  <si>
    <t>Neg. tipo franchising a Monza (MI) - "La Frasca di Branaschky Maruschka"</t>
  </si>
  <si>
    <t xml:space="preserve">     Cespiti in comodato a Monza "LA FRASCA di Branaschky Maruschka"  (Da ns. negozio di San Fruttuoso)</t>
  </si>
  <si>
    <t xml:space="preserve">   * Cespiti in comodato a Monza (MB) - "LA FRASCA di Branaschky Maruschka"</t>
  </si>
  <si>
    <t xml:space="preserve"> * Cespiti in comodato a Monza - "La Frasca di Branaschky Maruschka" </t>
  </si>
  <si>
    <t xml:space="preserve"> * Cespiti in comodato a Monza - "La Frasca di Branaschky Maruschka"</t>
  </si>
  <si>
    <t xml:space="preserve">        - Neg. Castel di Godego (Pascoli Nord Est)</t>
  </si>
  <si>
    <t xml:space="preserve">        - Neg. Cantù (Cantina del Cigno)</t>
  </si>
  <si>
    <t>(p.31) n.1 Serb.inox da Hl.15 (225-Gortani)</t>
  </si>
  <si>
    <t>(p.31) n.3 Serb. Inox da Hl.15 (536-Gortani)</t>
  </si>
  <si>
    <t xml:space="preserve">        - Neg. Missaglia (Pablos Bar di Puleo S.)</t>
  </si>
  <si>
    <t>(p.31) n.6 Erogatori manuali (407-Eno Serv.)</t>
  </si>
  <si>
    <t>(p.31) n.1 Insegna monof.lum.(586-Bergo)</t>
  </si>
  <si>
    <t>(p.32) n.6 Portagomma (407-Eno Service)</t>
  </si>
  <si>
    <t>(p.32) n.4 serb.inox da hl.15 (690-Fil.Austr.)</t>
  </si>
  <si>
    <t xml:space="preserve">      n.1 serb.inox da hl.15 Restituito in Sede</t>
  </si>
  <si>
    <t xml:space="preserve">      n.3 serb.inox da hl.15 Restituiti in Sede</t>
  </si>
  <si>
    <t xml:space="preserve">      n.1 Fondo botte lavor. Restituito in Sede</t>
  </si>
  <si>
    <t xml:space="preserve">      n.2 Distrib.autom. Restituiti in Sede</t>
  </si>
  <si>
    <t xml:space="preserve">         - Filiale Austriaca di Klangenfurt</t>
  </si>
  <si>
    <t>(Pag.16) n. 2 Distrib.automat.Sies(Pr.690)</t>
  </si>
  <si>
    <t xml:space="preserve">             Impianto  CO2 c.da Klag.(Pr.176)</t>
  </si>
  <si>
    <t xml:space="preserve">        - Da negozio di Cantù (Cantina del Cigno srl)</t>
  </si>
  <si>
    <t>(Pag.29) n.3 Erogat.man.inox(Pr611 Eno S.)</t>
  </si>
  <si>
    <t>(Pag.29) n.2 Serb. inox da Hl.15 (da Fil.A)</t>
  </si>
  <si>
    <t xml:space="preserve">        - Da negozio di Cinisello Balsamo (La Bottega del Vino di Pesce Salvatore)</t>
  </si>
  <si>
    <t>(Pag.29) Impianto CO2 (Eno Service srl)</t>
  </si>
  <si>
    <t>(Pag.29) n.6 Serb. inox da Hl.15 (Gortani)</t>
  </si>
  <si>
    <t>(Pag.29) n.6 Erogatori man.inox (Eno Serv.)</t>
  </si>
  <si>
    <t>(Pag.29) n.6 Attacchi per erog.(Pr189 Gort.)</t>
  </si>
  <si>
    <t xml:space="preserve">        - Da negozio di Monza (La Frasca di Branaschky M.)</t>
  </si>
  <si>
    <t>(Pag.30) n.1 Fondo botte lavor.(P 83 V.ta B.)</t>
  </si>
  <si>
    <t>(Pag.30) n.4 Serb.inox da Hl.20 (Pr.158 Gor)</t>
  </si>
  <si>
    <t>(Pag.30) n.2 Distrib.autom. Sies (Pr. 179)</t>
  </si>
  <si>
    <t xml:space="preserve">         - Da negozio di Missaglia (Pablos Bar di Puleo S.)</t>
  </si>
  <si>
    <t>(Pag.30) Impianto CO2 (Eno Service)</t>
  </si>
  <si>
    <t>12.06 Imp.elettr.2 vinific.(Pr.426 E.E.Toffoli)</t>
  </si>
  <si>
    <t>12.06 Imp.elettr. Pressa (Pr.426 E.E.Toffoli)</t>
  </si>
  <si>
    <t xml:space="preserve">                    Totali parziali</t>
  </si>
  <si>
    <t xml:space="preserve"> (IMPIANTI E MACCHINARI)</t>
  </si>
  <si>
    <t>12.06 n.10 Erogatori man. (Pr.611 Eno Serv.)</t>
  </si>
  <si>
    <t xml:space="preserve">      n.3 Erogatori man.  Restituiti in Sede</t>
  </si>
  <si>
    <t xml:space="preserve">                      Totali parziali beni ammortiz.</t>
  </si>
  <si>
    <t>07/07 n.4 mob.spoglatoi (Pr.313 Comin Arr.)</t>
  </si>
  <si>
    <t xml:space="preserve">                      Totali parziali </t>
  </si>
  <si>
    <t>Cespiti ritirati da Negozi esterni</t>
  </si>
  <si>
    <t>(Pag.30) n.2 Distrib.autom. Sies (Pr. 690 A)</t>
  </si>
  <si>
    <t>02/11 n.2 Serbatoi inox 7,5 hl+v.(Pr.89-Gort.)</t>
  </si>
  <si>
    <t>03/11 Impianto CO2 su 2 s. (Pr.117 Eno S.)</t>
  </si>
  <si>
    <t>03/11 n.2 Aste liv.serb.7,5 hl(Pr.140-Gortani)</t>
  </si>
  <si>
    <t>11/08 n.2 Fondi botte rovere (P.546 da Fil.A)</t>
  </si>
  <si>
    <t xml:space="preserve">         n.4 Distrib.Autom.SIES (P.546da Fil.A</t>
  </si>
  <si>
    <t>di cui valore 1 lavadamig.SIES in sede</t>
  </si>
  <si>
    <t>di cui metà valore 1 lavadam.SIES a Villach</t>
  </si>
  <si>
    <t>(Pag.18) n. 1 Lavadamigiane Sies (Pr.546)</t>
  </si>
  <si>
    <t>Neg. tipo franchising: Noventa Padovana (PD) -Castel di Godego (VI) - Puos d'Alpago (BL) -</t>
  </si>
  <si>
    <t xml:space="preserve">          Totali come da pag. 35 (2011/12)</t>
  </si>
  <si>
    <t xml:space="preserve">Ns. Negozi: Maniago, San Fruttuoso e Tolmezzo </t>
  </si>
  <si>
    <t>Negozio a Mirabello di Cantù (CO) (scad. 2019)</t>
  </si>
  <si>
    <t>24.06.13 Adeg. Imp. idrico (P298 Colombo I.)</t>
  </si>
  <si>
    <t xml:space="preserve">          Totali neg. CA</t>
  </si>
  <si>
    <t>18.10.12 Ampl.tettoia pig.(Pr.525 Tofano srl)</t>
  </si>
  <si>
    <t>10.12.12 Copert.compres.(Pr.649 Off.Rover)</t>
  </si>
  <si>
    <t>03.09.12 Scarico-inst.Pressa(P.370 Costella)</t>
  </si>
  <si>
    <t>07.09.12 Imp.idrico pig.press.(P.432 Netto D)</t>
  </si>
  <si>
    <t>03.09.12 Imp.elettr.pigiat.(P.391 E.E.Toffoli)</t>
  </si>
  <si>
    <t>18.09.12 Quadro elettrico (Pr.452 E.E.Toffoli)</t>
  </si>
  <si>
    <t>05.10.12 Modif.quadro (P.497 LongoEnoproj.)</t>
  </si>
  <si>
    <t xml:space="preserve">            (Valore lavadam. estrapolato dal costo di 4 distrib.automat.: ritirati dalla filiale Austriaca Neg. di Klagenfurt)</t>
  </si>
  <si>
    <t xml:space="preserve">                   Totali parziali cespiti in sede</t>
  </si>
  <si>
    <t xml:space="preserve">        - Da negozio di Villach (A) Weinhandel Christian Martinshitz</t>
  </si>
  <si>
    <t>(Pag.41) n. 6 Serbatoi inox da hl.15 (Pr.176)</t>
  </si>
  <si>
    <t>(Pag.41) n. 1 Lavadamigiane Sies (Pr.546)</t>
  </si>
  <si>
    <t>(Pag.41) n. 2 Fondi Botte in rovere (Pr.176)</t>
  </si>
  <si>
    <t>06.08.13 n. 1 Carrello sgocc.dg.(P380 Rover)</t>
  </si>
  <si>
    <t>10/11 n.1 Variatore Epicicl.(P.479 Giust Tec)</t>
  </si>
  <si>
    <t>03.04.13 n.1 Banco spina a 3 r.(P163 Interfer)</t>
  </si>
  <si>
    <t>30.04.13 n.1 Scala all.7gr.(P.205 Coop.Lomb.)</t>
  </si>
  <si>
    <t>02.05.13 n.1 Bombola CO2 (Pr.212 Juliagas)</t>
  </si>
  <si>
    <t>15.05.13 n.2 Bilance Vis. (Pr.235 SBP Bilace)</t>
  </si>
  <si>
    <t>08.08.13 n.1 Buffalo Link (Pr.390 CDM Infor.)</t>
  </si>
  <si>
    <t xml:space="preserve">       A) Cespiti in sede: totali parziali</t>
  </si>
  <si>
    <t xml:space="preserve">        Totali parziali beni ammortizz.neg. MA</t>
  </si>
  <si>
    <t>15.05.13 n.1 Bilancia Vis. (Pr.235 SBP Bilace)</t>
  </si>
  <si>
    <t xml:space="preserve">                   Totali parziali neg. PN</t>
  </si>
  <si>
    <t>26.07.13 n.1 Fax Brither (Pr.346 Sistema Uff.)</t>
  </si>
  <si>
    <t xml:space="preserve">                   Totali parziali neg. MA</t>
  </si>
  <si>
    <t xml:space="preserve">                   Totali parziali neg. TO</t>
  </si>
  <si>
    <t>30.04.13 n.1 Misurat.Fisc.Underw.(P.204Lasa)</t>
  </si>
  <si>
    <t>02.05.13 n.1 Telefax Samsung (P.217PuntoUff.)</t>
  </si>
  <si>
    <t>02.05.13 n.1 Calcolatr.Citizen (Pr.217PuntoUff)</t>
  </si>
  <si>
    <t xml:space="preserve">                   Totali parziali neg. CA</t>
  </si>
  <si>
    <t xml:space="preserve"> (p79)11/01 n.1 Calcolatr.Logos 692 (PN Uff.)</t>
  </si>
  <si>
    <t xml:space="preserve"> - Cespiti presso neg. Cantù (CO)</t>
  </si>
  <si>
    <t>27.06.13 Tende interne neg.uff.(P.304 Tusset)</t>
  </si>
  <si>
    <t>04/13 Banco frigo con anta (Pr.176 Fil.A-Kl.)</t>
  </si>
  <si>
    <t>06/13 Base lavello con pens.(P.176 F.A-Vil.)</t>
  </si>
  <si>
    <t>04/13 Scaffali in abete tinto (P.176 Fil.A-Kl.)</t>
  </si>
  <si>
    <t>Beni da ammortizzare come da tot.parz.p.47</t>
  </si>
  <si>
    <t>24.09.13 Porte antip. Ester.(P.479 Sedonati)</t>
  </si>
  <si>
    <t>09.13 3Pensil.op.m.(Pr.316-374 I.E. Del Fiol)</t>
  </si>
  <si>
    <t>09.13 Piano sicurez. (Pr.394 geom. Del Fiol)</t>
  </si>
  <si>
    <t>09.13 3 Pensiline str. (Pr. 463 I.E. Del Fiol)</t>
  </si>
  <si>
    <t>10.13 Calcoli statici (Pr.566 ing.Della Puppa)</t>
  </si>
  <si>
    <t>05.14 Collaudo lav. (Pr.260 arch.Dal Cin F.)</t>
  </si>
  <si>
    <t>09.13 Progetti, assis.(Pr.450 geom.Benedet)</t>
  </si>
  <si>
    <t>05.14 Prog.assist.l.(Pr.245 geom. Benedet)</t>
  </si>
  <si>
    <t>06.14 Relaz.finale (Pr.329 geom. Benedet)</t>
  </si>
  <si>
    <t>S/do come da totali parz. a pag.47 (2012/13)</t>
  </si>
  <si>
    <t>02.09.13 Prova avviam.imp.(P.397 LindeGas)</t>
  </si>
  <si>
    <t>02.09.13 Imp. elettr.+ q.e.(P383-384E.Toffoli)</t>
  </si>
  <si>
    <t>16.09.13 Adeguam.Imp.elettr.(P.449E.Toffoli)</t>
  </si>
  <si>
    <t>09.13 Imp.raffred.uve (Pr.477-478 Linde Gas)</t>
  </si>
  <si>
    <t>26.09.13 Caldaia risc.Ferroli(P.481 Idr.Netto)</t>
  </si>
  <si>
    <t>03.10.13 Piattaforma pressa(P.499 Off.Rover)</t>
  </si>
  <si>
    <t xml:space="preserve">             Cancello rec.serb. (P.499 Off.Rover)</t>
  </si>
  <si>
    <t>26.03.14 Imp.climatizz.neg.(P.169 Comisso)</t>
  </si>
  <si>
    <t>21.03.14 Imp.elettr.climat.(P.162E.E.Toffoli)</t>
  </si>
  <si>
    <t>18.11.13 Pompa somm.dep.(P.611 D.V. srl)</t>
  </si>
  <si>
    <t>16.04.14 Imp.CO2 serb.(Pr. 202 TM Gas T.)</t>
  </si>
  <si>
    <t xml:space="preserve">    Parziali cespiti ritirati ns. negozi a riporto</t>
  </si>
  <si>
    <t xml:space="preserve">    Parziali cespiti ritirati ns. neg. da riportare</t>
  </si>
  <si>
    <t>08.10.13 Porte antip. Ester.(P.513 Sedonati)</t>
  </si>
  <si>
    <t>31.08.14 CTR PSR su 2 Fatt. eserc.2012/13</t>
  </si>
  <si>
    <t xml:space="preserve">             CTR PSR su 2 Fatt. eserc.2013/14</t>
  </si>
  <si>
    <t>09.12 Imp.elettr.pressat.(P.451 E.E.Toffoli)</t>
  </si>
  <si>
    <t>09.12 Imp.Pigiat.Press.(P.369 L.Enoproject)</t>
  </si>
  <si>
    <t>31.08.14 CTR PSR su Fatt. P.525-649 es.pr.</t>
  </si>
  <si>
    <t xml:space="preserve">    CTR PSR su Fatt. P.316-374-463 es.corr.</t>
  </si>
  <si>
    <t xml:space="preserve">    CTR PSR  F. P.394-450-566-329-245-260</t>
  </si>
  <si>
    <t>31.08.14 CTR PSR su F.P.369-370-497es.pr.</t>
  </si>
  <si>
    <t xml:space="preserve">      CTR PSR su Fatt. P.391-451-452 es.pr.</t>
  </si>
  <si>
    <t xml:space="preserve">      CTR PSR su Fatt. P.383-449-384 es.cor.</t>
  </si>
  <si>
    <t xml:space="preserve">      CTR PSR su Fatt. Prot. 499 es.cor.</t>
  </si>
  <si>
    <t xml:space="preserve">      CTR PSR su Fatt. P.478-397-477 es.cor.</t>
  </si>
  <si>
    <t xml:space="preserve">      CTR PSR su Fatt. Prot. 202 es.cor.</t>
  </si>
  <si>
    <t xml:space="preserve">      CTR PSR su Fatt .P.432 eserc.2012/13</t>
  </si>
  <si>
    <t xml:space="preserve">    Parziali cespiti in comodato da riportare</t>
  </si>
  <si>
    <t xml:space="preserve">    Parziali cespiti in comodato a riporto</t>
  </si>
  <si>
    <t xml:space="preserve"> 12.13 Tutti i suddetti beni Ritirati in Sede</t>
  </si>
  <si>
    <t>S/do come da totali parz. a pag.52 (2012/13)</t>
  </si>
  <si>
    <t>03.10.13 n. 1 Scala per magaz.(P499 Rover)</t>
  </si>
  <si>
    <t>10e12.13 Segnaletica sic.(P.511-648 BEASS)</t>
  </si>
  <si>
    <t xml:space="preserve">   * Cespiti in comodato a Cantù (CO) -"CANTINA DEL CIGNO srl" da sett.2013 CHIUSO dimesso dip. Pesce Salvatore</t>
  </si>
  <si>
    <t xml:space="preserve">     Cespiti in comodato a Cantù (CO) -"CANTINA DEL CIGNO srl" da sett. 2013 CHIUSO dimesso dip.Pesce Salvatore</t>
  </si>
  <si>
    <t>(p.53) n.1 Gocciolat.damig. (Pr.503 SIES)</t>
  </si>
  <si>
    <t>(p.53) n.7 Serb.inox da hl.15 (Pr.536-Gortani)</t>
  </si>
  <si>
    <t>(p.53) n.1 Lavadamig.elettr. (Pr.566 SIES)</t>
  </si>
  <si>
    <t>(da sett.2013 CHIUSO dimesso dip. Pesce Salvatore)</t>
  </si>
  <si>
    <t xml:space="preserve"> 12.13 n.1 Scala allum. Ritirata in Sede</t>
  </si>
  <si>
    <t>(p.54) n.1 Scala allum.7gr.(Pr.205 Coop.L.)</t>
  </si>
  <si>
    <t>03.10.13 Ruote nastro mob.(P.499 Off.Rover)</t>
  </si>
  <si>
    <t>23.10.13 2 Sensori p.CO2 (P.544 Recom I.)</t>
  </si>
  <si>
    <t>S/do come da totali parz. a pag.54 (2012-13)</t>
  </si>
  <si>
    <t>05.05.14 Banco bar con frigo e n.3 Tavoli in</t>
  </si>
  <si>
    <t xml:space="preserve">            legno con 24 sedie (P.226-CIEM S.)</t>
  </si>
  <si>
    <t xml:space="preserve">        -----</t>
  </si>
  <si>
    <t>05/14 n.1 Scrivania e piani st.v (P.226 CIEM)</t>
  </si>
  <si>
    <t>05/14 n.1 Cassettiera a 3 cs (P.226 CIEM)</t>
  </si>
  <si>
    <t>05/14 n.1 Armadio con cristal.(P.226 CIEM)</t>
  </si>
  <si>
    <t>05/14 n.1 Armadio a 4 ante (P.226 CIEM S.)</t>
  </si>
  <si>
    <t>05/14 n.1 Scrivania senza cs (P.226 CIEM)</t>
  </si>
  <si>
    <t>05/14 n.1 Portina va e vieni (Pr.226 CIEM S.)</t>
  </si>
  <si>
    <t xml:space="preserve"> 12/13 Tutti i suddetti beni Ritirati in Sede</t>
  </si>
  <si>
    <t>12/08 Scaff. e Arredo (P. 587 Eredi Zanette)</t>
  </si>
  <si>
    <t>(MOBILI E MACCHINE D'UFFICIO)</t>
  </si>
  <si>
    <t>S/do come da totali parz. a pag.55 (2012-13)</t>
  </si>
  <si>
    <t>15.10.13 Ns.Fatt.15/V02 Microsistemi snc</t>
  </si>
  <si>
    <t xml:space="preserve">             ammortamenti effettuati</t>
  </si>
  <si>
    <t xml:space="preserve">             plusvalenza su vendita cespite</t>
  </si>
  <si>
    <t>(Misuratore fiscale Sico mod.Universo- 2003)</t>
  </si>
  <si>
    <t>15.10.13 n.1 Misurat.fisc.Ital (P.526 Micros.)</t>
  </si>
  <si>
    <t xml:space="preserve">   Come da totali parziali a pag. 56 (2012-13)</t>
  </si>
  <si>
    <t>19.03.14 n.1 Monitor Phil.(Pr.151 Baviera E.)</t>
  </si>
  <si>
    <t>05.05.14 n.1 Fax Canon L220 (P.226 CiemS)</t>
  </si>
  <si>
    <t>06/14 n.1 Scanner Epson(P.334LaMeccanogr.)</t>
  </si>
  <si>
    <t xml:space="preserve"> * da negozio di Cantù</t>
  </si>
  <si>
    <t>(p.56) n.1 Misurat.Fisc.Underw.(P.204Lasa)</t>
  </si>
  <si>
    <t>(p.56) n.1 Telefax Samsung (P.217PuntoUff.)</t>
  </si>
  <si>
    <t>(p.56) n.1 Calcolatr.Citizen (Pr.217PuntoUff)</t>
  </si>
  <si>
    <t xml:space="preserve">     n.1 Notebook Samsun (Pr.57 Baviera E.)</t>
  </si>
  <si>
    <t>22.01.14 n.1 PC as.SHC(Pr.57 Baviera Ener.)</t>
  </si>
  <si>
    <t xml:space="preserve"> S/do come da totali parz. pag. 56 (2012-13)</t>
  </si>
  <si>
    <t>06/04 n.1 lavadamigiane acc.inox (SIES)</t>
  </si>
  <si>
    <t>21.11.13 Rete rec.serb.CO2(Pr.614 Zanette)</t>
  </si>
  <si>
    <t xml:space="preserve">             n.1 Switch 16 p.(Pr.151 Baviera E.)</t>
  </si>
  <si>
    <t>(Pag.51) n.1 Fondo botte lavor.(P.83 V.ta B.)</t>
  </si>
  <si>
    <t>(Pag.51) n.6 Distrib.autom. Sies (Pr. 179)</t>
  </si>
  <si>
    <t>(Pag.51) n.7 Serb.inox da Hl.15 (Pr.158Gort)</t>
  </si>
  <si>
    <t>(Pag.51) Impianto CO2 (Pr.178 Eno Service)</t>
  </si>
  <si>
    <t xml:space="preserve">      n.7 Serbatoi inox da 15 hl Restit.in Sede</t>
  </si>
  <si>
    <t xml:space="preserve">      n.6 Distrib.autom. Restituiti in Sede</t>
  </si>
  <si>
    <t xml:space="preserve">      Impianto CO2 Restituito in Sede</t>
  </si>
  <si>
    <t xml:space="preserve">    - Da negozi Filiale Austriaca</t>
  </si>
  <si>
    <t xml:space="preserve">    - Da negozio di Monza (La Frasca di Branaschky M.)</t>
  </si>
  <si>
    <t>(p.55) n. 1 Sgabello cashier (Pr.187 SME)</t>
  </si>
  <si>
    <t>1 Sgabello cashier Restituito in Sede</t>
  </si>
  <si>
    <t xml:space="preserve"> * da negozio di Monza (la Frasca di Branaschky M.)</t>
  </si>
  <si>
    <t>(p.9) Eserc.2008/09 n.3 cespiti ammortizzati</t>
  </si>
  <si>
    <t>(p.10) Eser.2008/09 n.3 cespiti ammortizzati</t>
  </si>
  <si>
    <t>(p.22) Eser,2009/10 n.2 cespiti ammortizzati</t>
  </si>
  <si>
    <t xml:space="preserve">  n.1 P.C. HP D230+ Office 2003 Rit.in Sede</t>
  </si>
  <si>
    <t xml:space="preserve">  n.1 Video Samsung Ritirato in Sede</t>
  </si>
  <si>
    <t xml:space="preserve">  n.1 Stampante Epson LX1170 Rit.in Sede</t>
  </si>
  <si>
    <t xml:space="preserve">  n.1 Telefono-fax Olivetti OFX550 Rit.in Sede</t>
  </si>
  <si>
    <t xml:space="preserve">  n.1 Calcolatrice Logos 692 Ritirata in Sede</t>
  </si>
  <si>
    <t xml:space="preserve">  n.1 Misurat.Fisc.Olivetti Ritirato in Sede</t>
  </si>
  <si>
    <t xml:space="preserve">  n.1 Kit videosorveglianza Rit.in Sede</t>
  </si>
  <si>
    <t>08.01.14 n.1 Estintore con supp.(Pr.8 BEASS)</t>
  </si>
  <si>
    <t>08.01.14 n.8 Estintori con supp.(Pr.8 BEASS)</t>
  </si>
  <si>
    <t>S/do Arredam.neg. Villach (come da pag.54)</t>
  </si>
  <si>
    <t>S/do Arredamento neg.Klag. (come da p.54)</t>
  </si>
  <si>
    <t xml:space="preserve">    - Da negozio di Cantù (ex Cant.Cigno e nostro fino 31 dic.2013)</t>
  </si>
  <si>
    <t>(p.54) Banco frigo con anta (Pr.176 Fil.A-Kl.)</t>
  </si>
  <si>
    <t>(p.55) Scaffali in abete tinto(Pr.176 Fil.A-Kl.)</t>
  </si>
  <si>
    <t>(p.55) Base lavello+pensile(Pr.176 Fil.A-Vil.)</t>
  </si>
  <si>
    <t>22.01.14 n.2 PC i3as.SHC(Pr.57 Baviera E.)</t>
  </si>
  <si>
    <t>22.01.14 n.2 PC i5as.SHC(Pr.57 Baviera E.)</t>
  </si>
  <si>
    <t>(Pag.51) n.7 Erogat.man.inox(Pr611 Eno S.)</t>
  </si>
  <si>
    <t>(Pag.51) Impianto CO2 (Pr.611 Eno Service)</t>
  </si>
  <si>
    <t xml:space="preserve">     - Da negozio di Cantù (nostro fino al 31 dic. 2013)</t>
  </si>
  <si>
    <t xml:space="preserve">     - Cespiti in comodato a Cesano Maderno - "Enoteca vino e dintorni"</t>
  </si>
  <si>
    <t xml:space="preserve">     - Cespiti presso negozio di Cantu'</t>
  </si>
  <si>
    <t xml:space="preserve">     Parziali cespiti in sede da riportare</t>
  </si>
  <si>
    <t xml:space="preserve">     Parziali cespiti in sede a riporto</t>
  </si>
  <si>
    <t>Pag.51/2005 Dettaglio n.6 Beni ammortizz.</t>
  </si>
  <si>
    <t xml:space="preserve">     - Cespiti in comodato da Noventana a Milano - All'Antica Botte di Gava G.</t>
  </si>
  <si>
    <t xml:space="preserve">     - Cespiti in comodato da S.Fruttuoso a Monza - La Frasca di Branaschky M.</t>
  </si>
  <si>
    <t>Pag.42/2004 Dettaglio n.2 Beni ammortizz.</t>
  </si>
  <si>
    <t xml:space="preserve">     - Cespiti presso negozio di Pordenone</t>
  </si>
  <si>
    <t>Pag.36-27/2002 Dettaglio n.6 Beni ammortizz.</t>
  </si>
  <si>
    <t>Pag.41-42/2004 Dettaglio n.2 Beni ammortizz.</t>
  </si>
  <si>
    <t xml:space="preserve">     - Cespiti presso negozio di Tolmezzo</t>
  </si>
  <si>
    <t xml:space="preserve">     - Cespiti presso negozio di Maniago</t>
  </si>
  <si>
    <t>Pag.42/2004 Dettaglio n.3 Beni ammortizz.</t>
  </si>
  <si>
    <t>Pag.64/2006 n.2 Tende veneziane (Sedonati)</t>
  </si>
  <si>
    <t>Estrapolazione beni presso n. 3 ns. negozi</t>
  </si>
  <si>
    <t>Estrapolaz. beni presso n. 2 negozi in comod.</t>
  </si>
  <si>
    <t xml:space="preserve">     Parziali cespiti presso ns. neg. da riportare</t>
  </si>
  <si>
    <t xml:space="preserve">     Parziali cespiti presso ns. neg. a riporto</t>
  </si>
  <si>
    <t xml:space="preserve">(ATTREZZATURA VARIA INFER. AD E.516) </t>
  </si>
  <si>
    <t>- ammortamenti effettuati</t>
  </si>
  <si>
    <t xml:space="preserve">- ammortamenti effettuati </t>
  </si>
  <si>
    <t xml:space="preserve">-ammortamento effettuati </t>
  </si>
  <si>
    <t>30.05.15 Fattura n.112</t>
  </si>
  <si>
    <t>plusvalenza su vendita cespite</t>
  </si>
  <si>
    <t>30.08.14 fer.G.Lacchin- Saldatrice compl.</t>
  </si>
  <si>
    <t>18.12.14 P.Martelozzo Alcolyzer Anali</t>
  </si>
  <si>
    <t>30/05 vendita n. 2 mob</t>
  </si>
  <si>
    <t>30/05 vendita mac da scrivere</t>
  </si>
  <si>
    <t>plusvalenza su vendita di cespite</t>
  </si>
  <si>
    <t>24.09.14 Hanna Kit HP compl.</t>
  </si>
  <si>
    <t>30/05 vendita kit video sorveglianza</t>
  </si>
  <si>
    <t>- ammoratamenti effettuati</t>
  </si>
  <si>
    <t>27/05 consorzio agr.-trattor.john de</t>
  </si>
  <si>
    <t>31/08 vendita soc agricola - trattor</t>
  </si>
  <si>
    <t>Rilevazione plusvalenza su vendita cespiti</t>
  </si>
  <si>
    <t xml:space="preserve"> - ammortamenti effettuati</t>
  </si>
  <si>
    <t>BENI AMMORTIZZABILI Esercizio 2015/16</t>
  </si>
  <si>
    <t>25.01 ctr.nuovi vigneti</t>
  </si>
  <si>
    <t>01 09 fitzpatrick mark jason</t>
  </si>
  <si>
    <t>31.12 vendita filtro tangenz.</t>
  </si>
  <si>
    <t xml:space="preserve"> -ammortamenti effettuati</t>
  </si>
  <si>
    <t xml:space="preserve"> minusvalenza su vendita cespite</t>
  </si>
  <si>
    <t xml:space="preserve">18.09 Emporio toffoli imp. Frigo </t>
  </si>
  <si>
    <t>31.01 Rs Service srl</t>
  </si>
  <si>
    <t>30.04 Rs Service srl</t>
  </si>
  <si>
    <t xml:space="preserve">30 04 Dt tecno </t>
  </si>
  <si>
    <t>31 08 emporio toffoli</t>
  </si>
  <si>
    <t>03/09/15 Anticipazione a fornitore</t>
  </si>
  <si>
    <t>03/09/15 Steroglass - Strum. Laboratorio</t>
  </si>
  <si>
    <t xml:space="preserve">27/09/2015 Steroglass </t>
  </si>
  <si>
    <t>Come totali parziali a pag. 22 (2009-10)</t>
  </si>
  <si>
    <t>BENI AMMORTIZZABILI Esercizio 2015/2016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</si>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</sst>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0_ ;\-#,##0.00\ 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20" fontId="0" fillId="0" borderId="0" xfId="0" applyNumberFormat="1" applyFont="1" applyFill="1"/>
    <xf numFmtId="4" fontId="3" fillId="0" borderId="0" xfId="0" applyNumberFormat="1" applyFont="1" applyFill="1"/>
    <xf numFmtId="4" fontId="0" fillId="0" borderId="0" xfId="0" applyNumberFormat="1" applyFont="1" applyFill="1"/>
    <xf numFmtId="0" fontId="0" fillId="0" borderId="0" xfId="0" applyFont="1" applyFill="1"/>
    <xf numFmtId="4" fontId="6" fillId="0" borderId="0" xfId="0" applyNumberFormat="1" applyFont="1" applyFill="1"/>
    <xf numFmtId="4" fontId="6" fillId="0" borderId="1" xfId="0" applyNumberFormat="1" applyFont="1" applyFill="1" applyBorder="1"/>
    <xf numFmtId="0" fontId="0" fillId="0" borderId="0" xfId="0" applyFont="1" applyFill="1" applyBorder="1"/>
    <xf numFmtId="0" fontId="5" fillId="0" borderId="0" xfId="0" applyFont="1" applyFill="1"/>
    <xf numFmtId="4" fontId="0" fillId="0" borderId="0" xfId="0" applyNumberFormat="1" applyFont="1" applyFill="1" applyBorder="1"/>
    <xf numFmtId="0" fontId="3" fillId="0" borderId="0" xfId="0" applyFont="1" applyFill="1" applyBorder="1"/>
    <xf numFmtId="4" fontId="0" fillId="0" borderId="1" xfId="0" applyNumberFormat="1" applyFont="1" applyFill="1" applyBorder="1"/>
    <xf numFmtId="4" fontId="6" fillId="0" borderId="0" xfId="0" applyNumberFormat="1" applyFont="1" applyFill="1" applyBorder="1"/>
    <xf numFmtId="4" fontId="0" fillId="0" borderId="2" xfId="0" applyNumberFormat="1" applyFont="1" applyFill="1" applyBorder="1"/>
    <xf numFmtId="3" fontId="0" fillId="0" borderId="0" xfId="0" applyNumberFormat="1" applyFont="1" applyFill="1"/>
    <xf numFmtId="41" fontId="2" fillId="0" borderId="0" xfId="1" applyFont="1" applyFill="1"/>
    <xf numFmtId="4" fontId="0" fillId="0" borderId="3" xfId="0" applyNumberFormat="1" applyFont="1" applyFill="1" applyBorder="1"/>
    <xf numFmtId="2" fontId="0" fillId="0" borderId="0" xfId="0" applyNumberFormat="1" applyFont="1" applyFill="1" applyBorder="1"/>
    <xf numFmtId="21" fontId="0" fillId="0" borderId="0" xfId="0" applyNumberFormat="1" applyFont="1" applyFill="1"/>
    <xf numFmtId="2" fontId="0" fillId="0" borderId="1" xfId="0" applyNumberFormat="1" applyFont="1" applyFill="1" applyBorder="1"/>
    <xf numFmtId="0" fontId="0" fillId="0" borderId="0" xfId="0" quotePrefix="1" applyFont="1" applyFill="1"/>
    <xf numFmtId="0" fontId="0" fillId="0" borderId="1" xfId="0" applyFont="1" applyFill="1" applyBorder="1"/>
    <xf numFmtId="2" fontId="0" fillId="0" borderId="0" xfId="0" applyNumberFormat="1" applyFont="1" applyFill="1"/>
    <xf numFmtId="4" fontId="0" fillId="0" borderId="4" xfId="0" applyNumberFormat="1" applyFont="1" applyFill="1" applyBorder="1"/>
    <xf numFmtId="4" fontId="0" fillId="0" borderId="5" xfId="0" applyNumberFormat="1" applyFont="1" applyFill="1" applyBorder="1"/>
    <xf numFmtId="3" fontId="0" fillId="0" borderId="0" xfId="0" applyNumberFormat="1" applyFont="1" applyFill="1" applyBorder="1"/>
    <xf numFmtId="16" fontId="0" fillId="0" borderId="0" xfId="0" applyNumberFormat="1" applyFont="1" applyFill="1"/>
    <xf numFmtId="4" fontId="0" fillId="2" borderId="0" xfId="0" applyNumberFormat="1" applyFont="1" applyFill="1"/>
    <xf numFmtId="20" fontId="0" fillId="0" borderId="0" xfId="0" quotePrefix="1" applyNumberFormat="1" applyFont="1" applyFill="1"/>
    <xf numFmtId="4" fontId="0" fillId="2" borderId="0" xfId="0" applyNumberFormat="1" applyFont="1" applyFill="1" applyBorder="1"/>
    <xf numFmtId="4" fontId="0" fillId="2" borderId="1" xfId="0" applyNumberFormat="1" applyFont="1" applyFill="1" applyBorder="1"/>
    <xf numFmtId="0" fontId="0" fillId="0" borderId="0" xfId="0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0" fillId="0" borderId="0" xfId="0" applyNumberFormat="1" applyFont="1" applyFill="1"/>
    <xf numFmtId="4" fontId="0" fillId="0" borderId="6" xfId="0" applyNumberFormat="1" applyFont="1" applyFill="1" applyBorder="1"/>
    <xf numFmtId="0" fontId="0" fillId="0" borderId="0" xfId="0" quotePrefix="1" applyFont="1" applyFill="1" applyBorder="1"/>
    <xf numFmtId="14" fontId="0" fillId="0" borderId="0" xfId="0" applyNumberFormat="1" applyFont="1" applyFill="1"/>
    <xf numFmtId="4" fontId="0" fillId="0" borderId="7" xfId="0" applyNumberFormat="1" applyFont="1" applyFill="1" applyBorder="1"/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Foglio1!$B$382:$H$382</c:f>
              <c:strCache>
                <c:ptCount val="1"/>
                <c:pt idx="0">
                  <c:v>                    TOTALI (A+B+C) 4.154.697,37 133.399,15 2.698.109,85 2.804.509,00 1.350.188,37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Foglio1!#REF!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Foglio1!#REF!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747496"/>
        <c:axId val="209425824"/>
      </c:barChart>
      <c:catAx>
        <c:axId val="7274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209425824"/>
        <c:crosses val="autoZero"/>
        <c:auto val="1"/>
        <c:lblAlgn val="ctr"/>
        <c:lblOffset val="100"/>
        <c:noMultiLvlLbl val="0"/>
      </c:catAx>
      <c:valAx>
        <c:axId val="2094258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72747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5" right="0.75" top="1" bottom="1" header="0.3" footer="0.3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7340" cy="5608320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7"/>
  <sheetViews>
    <sheetView tabSelected="1" zoomScale="156" zoomScaleNormal="156" workbookViewId="0">
      <pane ySplit="4" topLeftCell="A666" activePane="bottomLeft" state="frozen"/>
      <selection pane="bottomLeft" activeCell="B146" sqref="B146"/>
    </sheetView>
  </sheetViews>
  <sheetFormatPr defaultColWidth="9.109375" defaultRowHeight="13.2" x14ac:dyDescent="0.25"/>
  <cols>
    <col min="1" max="1" width="2.6640625" style="5" customWidth="1"/>
    <col min="2" max="2" width="45.6640625" style="5" customWidth="1"/>
    <col min="3" max="3" width="11.44140625" style="5" customWidth="1"/>
    <col min="4" max="4" width="5.33203125" style="5" customWidth="1"/>
    <col min="5" max="5" width="9.77734375" style="5" customWidth="1"/>
    <col min="6" max="6" width="11.6640625" style="5" customWidth="1"/>
    <col min="7" max="7" width="11.77734375" style="5" customWidth="1"/>
    <col min="8" max="8" width="11.109375" style="5" customWidth="1"/>
    <col min="9" max="9" width="9.109375" style="5"/>
    <col min="10" max="10" width="11.33203125" style="5" bestFit="1" customWidth="1"/>
    <col min="11" max="11" width="10" style="5" bestFit="1" customWidth="1"/>
    <col min="12" max="12" width="10.77734375" style="5" bestFit="1" customWidth="1"/>
    <col min="13" max="13" width="9.44140625" style="5" bestFit="1" customWidth="1"/>
    <col min="14" max="14" width="10.77734375" style="5" bestFit="1" customWidth="1"/>
    <col min="15" max="16384" width="9.109375" style="5"/>
  </cols>
  <sheetData>
    <row r="1" spans="1:10" x14ac:dyDescent="0.25">
      <c r="B1" s="5" t="s">
        <v>217</v>
      </c>
      <c r="C1" s="5" t="s">
        <v>214</v>
      </c>
    </row>
    <row r="2" spans="1:10" x14ac:dyDescent="0.25">
      <c r="B2" s="5" t="s">
        <v>546</v>
      </c>
    </row>
    <row r="4" spans="1:10" x14ac:dyDescent="0.25">
      <c r="A4" s="5">
        <v>1</v>
      </c>
      <c r="B4" s="5" t="s">
        <v>20</v>
      </c>
      <c r="C4" s="5" t="s">
        <v>4</v>
      </c>
      <c r="D4" s="5" t="s">
        <v>0</v>
      </c>
      <c r="E4" s="5" t="s">
        <v>1</v>
      </c>
      <c r="F4" s="5" t="s">
        <v>2</v>
      </c>
      <c r="G4" s="5" t="s">
        <v>3</v>
      </c>
      <c r="H4" s="5" t="s">
        <v>5</v>
      </c>
    </row>
    <row r="5" spans="1:10" x14ac:dyDescent="0.25">
      <c r="C5" s="15"/>
      <c r="E5" s="4"/>
      <c r="F5" s="16"/>
    </row>
    <row r="6" spans="1:10" x14ac:dyDescent="0.25">
      <c r="B6" s="5" t="s">
        <v>277</v>
      </c>
      <c r="C6" s="4"/>
      <c r="D6" s="4"/>
      <c r="E6" s="4"/>
      <c r="F6" s="4"/>
      <c r="G6" s="4"/>
      <c r="H6" s="4"/>
    </row>
    <row r="7" spans="1:10" x14ac:dyDescent="0.25">
      <c r="B7" s="5" t="s">
        <v>250</v>
      </c>
      <c r="C7" s="10">
        <v>7983</v>
      </c>
      <c r="D7" s="10">
        <v>20</v>
      </c>
      <c r="E7" s="10">
        <f>C7*D7/100</f>
        <v>1596.6</v>
      </c>
      <c r="F7" s="10">
        <f>3193.2+1596.6+1596.6</f>
        <v>6386.4</v>
      </c>
      <c r="G7" s="10">
        <f>E7+F7</f>
        <v>7983</v>
      </c>
      <c r="H7" s="10">
        <f>C7-G7</f>
        <v>0</v>
      </c>
    </row>
    <row r="8" spans="1:10" x14ac:dyDescent="0.25">
      <c r="B8" s="5" t="s">
        <v>199</v>
      </c>
      <c r="C8" s="17">
        <f>SUM(C7)</f>
        <v>7983</v>
      </c>
      <c r="E8" s="17">
        <f>E7</f>
        <v>1596.6</v>
      </c>
      <c r="F8" s="12">
        <f>SUM(F6:F7)</f>
        <v>6386.4</v>
      </c>
      <c r="G8" s="17">
        <f>SUM(G6:G7)</f>
        <v>7983</v>
      </c>
      <c r="H8" s="17">
        <f>SUM(H6:H7)</f>
        <v>0</v>
      </c>
    </row>
    <row r="10" spans="1:10" x14ac:dyDescent="0.25">
      <c r="B10" s="5" t="s">
        <v>25</v>
      </c>
      <c r="C10" s="4"/>
      <c r="E10" s="4"/>
      <c r="F10" s="4"/>
      <c r="G10" s="4"/>
      <c r="J10" s="4"/>
    </row>
    <row r="11" spans="1:10" x14ac:dyDescent="0.25">
      <c r="B11" s="5" t="s">
        <v>21</v>
      </c>
    </row>
    <row r="12" spans="1:10" x14ac:dyDescent="0.25">
      <c r="B12" s="5" t="s">
        <v>247</v>
      </c>
      <c r="C12" s="10">
        <v>0</v>
      </c>
      <c r="D12" s="18"/>
      <c r="E12" s="10">
        <v>0</v>
      </c>
      <c r="F12" s="10">
        <v>0</v>
      </c>
      <c r="G12" s="10">
        <f>E12+F12</f>
        <v>0</v>
      </c>
      <c r="H12" s="10">
        <v>0</v>
      </c>
    </row>
    <row r="13" spans="1:10" x14ac:dyDescent="0.25">
      <c r="B13" s="19" t="s">
        <v>249</v>
      </c>
      <c r="C13" s="12">
        <v>2601.5</v>
      </c>
      <c r="D13" s="20">
        <v>16.66</v>
      </c>
      <c r="E13" s="12">
        <f>ROUND(C13*D13/100,2)</f>
        <v>433.41</v>
      </c>
      <c r="F13" s="12">
        <f>866.82+433.41+E13</f>
        <v>1733.64</v>
      </c>
      <c r="G13" s="12">
        <f>E13+F13</f>
        <v>2167.0500000000002</v>
      </c>
      <c r="H13" s="12">
        <f>C13-G13</f>
        <v>434.44999999999982</v>
      </c>
    </row>
    <row r="14" spans="1:10" x14ac:dyDescent="0.25">
      <c r="B14" s="5" t="s">
        <v>248</v>
      </c>
      <c r="C14" s="4">
        <f>SUM(C12:C13)</f>
        <v>2601.5</v>
      </c>
      <c r="E14" s="4">
        <f>SUM(E12:E13)</f>
        <v>433.41</v>
      </c>
      <c r="F14" s="4">
        <f>SUM(F12:F13)</f>
        <v>1733.64</v>
      </c>
      <c r="G14" s="4">
        <f>SUM(G12:G13)</f>
        <v>2167.0500000000002</v>
      </c>
      <c r="H14" s="4">
        <f>SUM(H12:H13)</f>
        <v>434.44999999999982</v>
      </c>
    </row>
    <row r="15" spans="1:10" x14ac:dyDescent="0.25">
      <c r="C15" s="10"/>
      <c r="D15" s="10"/>
      <c r="E15" s="10"/>
      <c r="F15" s="10"/>
      <c r="G15" s="10"/>
      <c r="H15" s="10"/>
    </row>
    <row r="16" spans="1:10" x14ac:dyDescent="0.25">
      <c r="B16" s="5" t="s">
        <v>345</v>
      </c>
    </row>
    <row r="17" spans="2:8" x14ac:dyDescent="0.25">
      <c r="B17" s="5" t="s">
        <v>247</v>
      </c>
      <c r="C17" s="10">
        <v>0</v>
      </c>
      <c r="D17" s="18"/>
      <c r="E17" s="10">
        <v>0</v>
      </c>
      <c r="F17" s="10">
        <v>0</v>
      </c>
      <c r="G17" s="10">
        <f>E17+F17</f>
        <v>0</v>
      </c>
      <c r="H17" s="10">
        <v>0</v>
      </c>
    </row>
    <row r="19" spans="2:8" x14ac:dyDescent="0.25">
      <c r="B19" s="5" t="s">
        <v>230</v>
      </c>
      <c r="C19" s="10"/>
      <c r="D19" s="10"/>
      <c r="E19" s="10"/>
      <c r="F19" s="10"/>
      <c r="G19" s="10"/>
      <c r="H19" s="10"/>
    </row>
    <row r="20" spans="2:8" x14ac:dyDescent="0.25">
      <c r="B20" s="5" t="s">
        <v>231</v>
      </c>
      <c r="C20" s="10">
        <v>1717.36</v>
      </c>
      <c r="D20" s="10">
        <v>16.66</v>
      </c>
      <c r="E20" s="10">
        <f>ROUND(C20*D20/100,2)</f>
        <v>286.11</v>
      </c>
      <c r="F20" s="10">
        <f>858.33+286.11+E20+0.7</f>
        <v>1431.2500000000002</v>
      </c>
      <c r="G20" s="10">
        <f>E20+F20</f>
        <v>1717.3600000000001</v>
      </c>
      <c r="H20" s="10">
        <f>C20-G20</f>
        <v>0</v>
      </c>
    </row>
    <row r="21" spans="2:8" x14ac:dyDescent="0.25">
      <c r="B21" s="5" t="s">
        <v>232</v>
      </c>
      <c r="C21" s="12">
        <v>465.6</v>
      </c>
      <c r="D21" s="12">
        <v>16.66</v>
      </c>
      <c r="E21" s="12">
        <f>ROUND(C21*D21/100,2)</f>
        <v>77.569999999999993</v>
      </c>
      <c r="F21" s="12">
        <f>232.71+77.57+E21+0.18</f>
        <v>388.03</v>
      </c>
      <c r="G21" s="12">
        <f>E21+F21</f>
        <v>465.59999999999997</v>
      </c>
      <c r="H21" s="12">
        <f>C21-G21</f>
        <v>0</v>
      </c>
    </row>
    <row r="22" spans="2:8" x14ac:dyDescent="0.25">
      <c r="B22" s="5" t="s">
        <v>22</v>
      </c>
      <c r="C22" s="10">
        <f>SUM(C20:C21)</f>
        <v>2182.96</v>
      </c>
      <c r="D22" s="10"/>
      <c r="E22" s="10">
        <f>SUM(E20:E21)</f>
        <v>363.68</v>
      </c>
      <c r="F22" s="10">
        <f>SUM(F20:F21)</f>
        <v>1819.2800000000002</v>
      </c>
      <c r="G22" s="10">
        <f>SUM(G20:G21)</f>
        <v>2182.96</v>
      </c>
      <c r="H22" s="10">
        <f>SUM(H20:H21)</f>
        <v>0</v>
      </c>
    </row>
    <row r="23" spans="2:8" x14ac:dyDescent="0.25">
      <c r="B23" s="5" t="s">
        <v>346</v>
      </c>
    </row>
    <row r="24" spans="2:8" x14ac:dyDescent="0.25">
      <c r="B24" s="5" t="s">
        <v>347</v>
      </c>
      <c r="C24" s="8">
        <v>301.29000000000002</v>
      </c>
      <c r="D24" s="10"/>
      <c r="E24" s="10">
        <v>0</v>
      </c>
      <c r="F24" s="10">
        <v>301.29000000000002</v>
      </c>
      <c r="G24" s="10">
        <f>E24+F24</f>
        <v>301.29000000000002</v>
      </c>
      <c r="H24" s="10">
        <f>C24-G24</f>
        <v>0</v>
      </c>
    </row>
    <row r="25" spans="2:8" x14ac:dyDescent="0.25">
      <c r="B25" s="21" t="s">
        <v>529</v>
      </c>
      <c r="C25" s="22">
        <v>-301.29000000000002</v>
      </c>
      <c r="D25" s="12"/>
      <c r="E25" s="12"/>
      <c r="F25" s="12">
        <v>-301.29000000000002</v>
      </c>
      <c r="G25" s="12">
        <v>-301.29000000000002</v>
      </c>
      <c r="H25" s="12"/>
    </row>
    <row r="26" spans="2:8" x14ac:dyDescent="0.25">
      <c r="B26" s="5" t="s">
        <v>348</v>
      </c>
      <c r="C26" s="10">
        <f>SUM(C24:C25)</f>
        <v>0</v>
      </c>
      <c r="D26" s="10"/>
      <c r="E26" s="10">
        <f>SUM(E24:E25)</f>
        <v>0</v>
      </c>
      <c r="F26" s="10">
        <f>SUM(F24:F25)</f>
        <v>0</v>
      </c>
      <c r="G26" s="10">
        <f>SUM(G24:G25)</f>
        <v>0</v>
      </c>
      <c r="H26" s="10">
        <f>SUM(H24:H25)</f>
        <v>0</v>
      </c>
    </row>
    <row r="28" spans="2:8" x14ac:dyDescent="0.25">
      <c r="B28" s="5" t="s">
        <v>343</v>
      </c>
      <c r="C28" s="4"/>
      <c r="D28" s="23"/>
      <c r="E28" s="4"/>
      <c r="F28" s="4"/>
      <c r="G28" s="4"/>
      <c r="H28" s="4"/>
    </row>
    <row r="29" spans="2:8" x14ac:dyDescent="0.25">
      <c r="B29" s="5" t="s">
        <v>344</v>
      </c>
      <c r="C29" s="4">
        <v>0</v>
      </c>
      <c r="D29" s="4"/>
      <c r="E29" s="4">
        <v>0</v>
      </c>
      <c r="F29" s="4">
        <v>0</v>
      </c>
      <c r="G29" s="4">
        <f>E29+F29</f>
        <v>0</v>
      </c>
      <c r="H29" s="4">
        <v>0</v>
      </c>
    </row>
    <row r="31" spans="2:8" x14ac:dyDescent="0.25">
      <c r="B31" s="5" t="s">
        <v>228</v>
      </c>
    </row>
    <row r="32" spans="2:8" x14ac:dyDescent="0.25">
      <c r="B32" s="5" t="s">
        <v>142</v>
      </c>
      <c r="C32" s="4">
        <v>2976</v>
      </c>
      <c r="D32" s="23"/>
      <c r="E32" s="4">
        <v>0</v>
      </c>
      <c r="F32" s="4">
        <v>2976</v>
      </c>
      <c r="G32" s="4">
        <f>E32+F32</f>
        <v>2976</v>
      </c>
      <c r="H32" s="4">
        <f>C32-G32</f>
        <v>0</v>
      </c>
    </row>
    <row r="33" spans="2:10" x14ac:dyDescent="0.25">
      <c r="B33" s="5" t="s">
        <v>143</v>
      </c>
      <c r="C33" s="10">
        <v>6360</v>
      </c>
      <c r="D33" s="18"/>
      <c r="E33" s="10">
        <v>0</v>
      </c>
      <c r="F33" s="10">
        <v>6360</v>
      </c>
      <c r="G33" s="10">
        <f>E33+F33</f>
        <v>6360</v>
      </c>
      <c r="H33" s="10">
        <f>C33-G33</f>
        <v>0</v>
      </c>
    </row>
    <row r="34" spans="2:10" x14ac:dyDescent="0.25">
      <c r="B34" s="21" t="s">
        <v>529</v>
      </c>
      <c r="C34" s="12">
        <v>-9336</v>
      </c>
      <c r="D34" s="20"/>
      <c r="E34" s="12"/>
      <c r="F34" s="12">
        <v>-9336</v>
      </c>
      <c r="G34" s="12">
        <v>-9336</v>
      </c>
      <c r="H34" s="12"/>
    </row>
    <row r="35" spans="2:10" x14ac:dyDescent="0.25">
      <c r="B35" s="5" t="s">
        <v>144</v>
      </c>
      <c r="C35" s="4">
        <f>SUM(C32:C34)</f>
        <v>0</v>
      </c>
      <c r="D35" s="4"/>
      <c r="E35" s="4">
        <f>SUM(E32:E34)</f>
        <v>0</v>
      </c>
      <c r="F35" s="4">
        <f>SUM(F32:F34)</f>
        <v>0</v>
      </c>
      <c r="G35" s="4">
        <f>SUM(G32:G34)</f>
        <v>0</v>
      </c>
      <c r="H35" s="4">
        <f>SUM(H32:H34)</f>
        <v>0</v>
      </c>
    </row>
    <row r="36" spans="2:10" x14ac:dyDescent="0.25">
      <c r="B36" s="5" t="s">
        <v>289</v>
      </c>
      <c r="C36" s="4"/>
      <c r="D36" s="23"/>
      <c r="E36" s="4"/>
      <c r="F36" s="4"/>
      <c r="G36" s="4"/>
      <c r="H36" s="4"/>
    </row>
    <row r="37" spans="2:10" x14ac:dyDescent="0.25">
      <c r="B37" s="5" t="s">
        <v>208</v>
      </c>
      <c r="C37" s="4">
        <v>2726.4</v>
      </c>
      <c r="D37" s="23"/>
      <c r="E37" s="4">
        <v>0</v>
      </c>
      <c r="F37" s="4">
        <v>2726.4</v>
      </c>
      <c r="G37" s="4">
        <f>E37+F37</f>
        <v>2726.4</v>
      </c>
      <c r="H37" s="4">
        <f>C37-G37</f>
        <v>0</v>
      </c>
    </row>
    <row r="38" spans="2:10" x14ac:dyDescent="0.25">
      <c r="B38" s="5" t="s">
        <v>209</v>
      </c>
      <c r="C38" s="4">
        <v>2344.62</v>
      </c>
      <c r="D38" s="23"/>
      <c r="E38" s="4">
        <v>0</v>
      </c>
      <c r="F38" s="4">
        <v>2344.62</v>
      </c>
      <c r="G38" s="4">
        <f>E38+F38</f>
        <v>2344.62</v>
      </c>
      <c r="H38" s="4">
        <f>C38-G38</f>
        <v>0</v>
      </c>
    </row>
    <row r="39" spans="2:10" x14ac:dyDescent="0.25">
      <c r="B39" s="5" t="s">
        <v>210</v>
      </c>
      <c r="C39" s="4">
        <v>114.6</v>
      </c>
      <c r="D39" s="23"/>
      <c r="E39" s="4">
        <v>0</v>
      </c>
      <c r="F39" s="4">
        <v>114.6</v>
      </c>
      <c r="G39" s="4">
        <f>E39+F39</f>
        <v>114.6</v>
      </c>
      <c r="H39" s="4">
        <f>C39-G39</f>
        <v>0</v>
      </c>
    </row>
    <row r="40" spans="2:10" x14ac:dyDescent="0.25">
      <c r="B40" s="5" t="s">
        <v>211</v>
      </c>
      <c r="C40" s="10">
        <v>960</v>
      </c>
      <c r="D40" s="18"/>
      <c r="E40" s="10">
        <v>0</v>
      </c>
      <c r="F40" s="10">
        <v>960</v>
      </c>
      <c r="G40" s="10">
        <f>E40+F40</f>
        <v>960</v>
      </c>
      <c r="H40" s="10">
        <f>C40-G40</f>
        <v>0</v>
      </c>
    </row>
    <row r="41" spans="2:10" x14ac:dyDescent="0.25">
      <c r="B41" s="21" t="s">
        <v>530</v>
      </c>
      <c r="C41" s="12">
        <v>-6145.62</v>
      </c>
      <c r="D41" s="20"/>
      <c r="E41" s="12"/>
      <c r="F41" s="12">
        <v>-6145.62</v>
      </c>
      <c r="G41" s="12">
        <v>-6145.62</v>
      </c>
      <c r="H41" s="12"/>
      <c r="J41" s="4"/>
    </row>
    <row r="42" spans="2:10" x14ac:dyDescent="0.25">
      <c r="B42" s="5" t="s">
        <v>173</v>
      </c>
      <c r="C42" s="4">
        <f>SUM(C37:C41)</f>
        <v>0</v>
      </c>
      <c r="D42" s="23"/>
      <c r="E42" s="4">
        <f>SUM(E37:E40)</f>
        <v>0</v>
      </c>
      <c r="F42" s="4">
        <f>SUM(F37:F41)</f>
        <v>0</v>
      </c>
      <c r="G42" s="4">
        <f>SUM(G37:G41)</f>
        <v>0</v>
      </c>
      <c r="H42" s="4">
        <f>SUM(H37:H40)</f>
        <v>0</v>
      </c>
      <c r="J42" s="4"/>
    </row>
    <row r="43" spans="2:10" x14ac:dyDescent="0.25">
      <c r="B43" s="5" t="s">
        <v>229</v>
      </c>
      <c r="C43" s="4"/>
      <c r="D43" s="23"/>
      <c r="E43" s="4"/>
      <c r="F43" s="4"/>
      <c r="G43" s="4"/>
      <c r="H43" s="4"/>
    </row>
    <row r="44" spans="2:10" x14ac:dyDescent="0.25">
      <c r="B44" s="5" t="s">
        <v>227</v>
      </c>
      <c r="C44" s="4">
        <v>2328</v>
      </c>
      <c r="D44" s="23"/>
      <c r="E44" s="4">
        <v>0</v>
      </c>
      <c r="F44" s="4">
        <v>2328</v>
      </c>
      <c r="G44" s="4">
        <f>E44+F44</f>
        <v>2328</v>
      </c>
      <c r="H44" s="4">
        <f>C44-G44</f>
        <v>0</v>
      </c>
      <c r="J44" s="4"/>
    </row>
    <row r="45" spans="2:10" x14ac:dyDescent="0.25">
      <c r="B45" s="5" t="s">
        <v>212</v>
      </c>
      <c r="C45" s="4">
        <v>1074</v>
      </c>
      <c r="D45" s="23"/>
      <c r="E45" s="4">
        <v>0</v>
      </c>
      <c r="F45" s="4">
        <f>+C45</f>
        <v>1074</v>
      </c>
      <c r="G45" s="4">
        <f>E45+F45</f>
        <v>1074</v>
      </c>
      <c r="H45" s="4">
        <v>0</v>
      </c>
      <c r="J45" s="4"/>
    </row>
    <row r="46" spans="2:10" x14ac:dyDescent="0.25">
      <c r="B46" s="5" t="s">
        <v>213</v>
      </c>
      <c r="C46" s="10">
        <v>1440</v>
      </c>
      <c r="D46" s="18"/>
      <c r="E46" s="10">
        <v>0</v>
      </c>
      <c r="F46" s="10">
        <f>+C46</f>
        <v>1440</v>
      </c>
      <c r="G46" s="10">
        <f>E46+F46</f>
        <v>1440</v>
      </c>
      <c r="H46" s="10">
        <v>0</v>
      </c>
    </row>
    <row r="47" spans="2:10" x14ac:dyDescent="0.25">
      <c r="B47" s="21" t="s">
        <v>529</v>
      </c>
      <c r="C47" s="12">
        <v>-4842</v>
      </c>
      <c r="D47" s="20"/>
      <c r="E47" s="12"/>
      <c r="F47" s="12">
        <v>-4842</v>
      </c>
      <c r="G47" s="12">
        <v>-4842</v>
      </c>
      <c r="H47" s="12"/>
      <c r="J47" s="4"/>
    </row>
    <row r="48" spans="2:10" x14ac:dyDescent="0.25">
      <c r="B48" s="5" t="s">
        <v>174</v>
      </c>
      <c r="C48" s="4">
        <f>SUM(C44:C47)</f>
        <v>0</v>
      </c>
      <c r="D48" s="4"/>
      <c r="E48" s="4">
        <f>SUM(E44:E47)</f>
        <v>0</v>
      </c>
      <c r="F48" s="4">
        <f>SUM(F44:F47)</f>
        <v>0</v>
      </c>
      <c r="G48" s="4">
        <f>SUM(G44:G47)</f>
        <v>0</v>
      </c>
      <c r="H48" s="4">
        <f>SUM(H44:H47)</f>
        <v>0</v>
      </c>
    </row>
    <row r="49" spans="1:11" x14ac:dyDescent="0.25">
      <c r="B49" s="5" t="s">
        <v>285</v>
      </c>
      <c r="J49" s="4"/>
    </row>
    <row r="50" spans="1:11" x14ac:dyDescent="0.25">
      <c r="B50" s="4" t="s">
        <v>218</v>
      </c>
      <c r="C50" s="4">
        <v>3600</v>
      </c>
      <c r="D50" s="4">
        <v>16.66</v>
      </c>
      <c r="E50" s="4">
        <v>601.20000000000005</v>
      </c>
      <c r="F50" s="4">
        <f>2399.04+599.76+601.2</f>
        <v>3600</v>
      </c>
      <c r="G50" s="4">
        <v>4200.5</v>
      </c>
      <c r="H50" s="4">
        <v>-600.5</v>
      </c>
      <c r="J50" s="4"/>
    </row>
    <row r="51" spans="1:11" x14ac:dyDescent="0.25">
      <c r="B51" s="5" t="s">
        <v>547</v>
      </c>
      <c r="C51" s="12">
        <v>15034.93</v>
      </c>
      <c r="D51" s="10">
        <v>10</v>
      </c>
      <c r="E51" s="10">
        <f>C51*D51/100</f>
        <v>1503.4929999999999</v>
      </c>
      <c r="F51" s="10"/>
      <c r="G51" s="10">
        <f>E51+F51</f>
        <v>1503.4929999999999</v>
      </c>
      <c r="H51" s="10">
        <f>C51-G51</f>
        <v>13531.437</v>
      </c>
      <c r="J51" s="4"/>
    </row>
    <row r="52" spans="1:11" x14ac:dyDescent="0.25">
      <c r="B52" s="4" t="s">
        <v>23</v>
      </c>
      <c r="C52" s="14">
        <f xml:space="preserve"> C14+C22+C26+C35+C42+C48+C50+C51</f>
        <v>23419.39</v>
      </c>
      <c r="D52" s="24"/>
      <c r="E52" s="14">
        <f>E14+E17+E22+E26+E35+E42+E48+E50+E51</f>
        <v>2901.7829999999999</v>
      </c>
      <c r="F52" s="14">
        <f>F14+F22+F26+F35+F42+F48+F50+F51</f>
        <v>7152.92</v>
      </c>
      <c r="G52" s="14">
        <f>G14+G22+G26+G35+G42+G48+G50+G51</f>
        <v>10054.003000000001</v>
      </c>
      <c r="H52" s="14">
        <f>H14+H22+H24+H35+H42+H48+H50+H51</f>
        <v>13365.386999999999</v>
      </c>
      <c r="I52" s="4"/>
      <c r="J52" s="4"/>
    </row>
    <row r="53" spans="1:11" x14ac:dyDescent="0.25">
      <c r="I53" s="4"/>
      <c r="J53" s="4"/>
    </row>
    <row r="54" spans="1:11" x14ac:dyDescent="0.25">
      <c r="G54" s="4"/>
      <c r="J54" s="4"/>
    </row>
    <row r="55" spans="1:11" x14ac:dyDescent="0.25">
      <c r="G55" s="4"/>
      <c r="J55" s="4"/>
    </row>
    <row r="56" spans="1:11" x14ac:dyDescent="0.25">
      <c r="G56" s="4"/>
      <c r="J56" s="4"/>
    </row>
    <row r="57" spans="1:11" x14ac:dyDescent="0.25">
      <c r="B57" s="5" t="s">
        <v>217</v>
      </c>
      <c r="C57" s="5" t="s">
        <v>215</v>
      </c>
      <c r="I57" s="4"/>
    </row>
    <row r="58" spans="1:11" x14ac:dyDescent="0.25">
      <c r="B58" s="5" t="s">
        <v>546</v>
      </c>
    </row>
    <row r="59" spans="1:11" x14ac:dyDescent="0.25">
      <c r="B59" s="4"/>
      <c r="C59" s="5" t="s">
        <v>4</v>
      </c>
      <c r="D59" s="5" t="s">
        <v>0</v>
      </c>
      <c r="E59" s="5" t="s">
        <v>1</v>
      </c>
      <c r="F59" s="5" t="s">
        <v>2</v>
      </c>
      <c r="G59" s="5" t="s">
        <v>3</v>
      </c>
      <c r="H59" s="5" t="s">
        <v>5</v>
      </c>
    </row>
    <row r="60" spans="1:11" x14ac:dyDescent="0.25">
      <c r="A60" s="5">
        <v>2</v>
      </c>
      <c r="B60" s="1" t="s">
        <v>24</v>
      </c>
    </row>
    <row r="61" spans="1:11" x14ac:dyDescent="0.25">
      <c r="B61" s="5" t="s">
        <v>175</v>
      </c>
      <c r="C61" s="10">
        <v>22140.83</v>
      </c>
      <c r="D61" s="5">
        <v>0</v>
      </c>
      <c r="E61" s="5" t="s">
        <v>26</v>
      </c>
      <c r="H61" s="10">
        <f>C61</f>
        <v>22140.83</v>
      </c>
    </row>
    <row r="62" spans="1:11" x14ac:dyDescent="0.25">
      <c r="B62" s="5" t="s">
        <v>176</v>
      </c>
      <c r="C62" s="10">
        <v>827859.17</v>
      </c>
      <c r="D62" s="8">
        <v>0</v>
      </c>
      <c r="E62" s="8"/>
      <c r="F62" s="8"/>
      <c r="G62" s="8"/>
      <c r="H62" s="10">
        <f>C62</f>
        <v>827859.17</v>
      </c>
      <c r="J62" s="4"/>
    </row>
    <row r="63" spans="1:11" x14ac:dyDescent="0.25">
      <c r="B63" s="5" t="s">
        <v>548</v>
      </c>
      <c r="C63" s="12">
        <f>4770+1049.4</f>
        <v>5819.4</v>
      </c>
      <c r="D63" s="22"/>
      <c r="E63" s="22"/>
      <c r="F63" s="22"/>
      <c r="G63" s="22"/>
      <c r="H63" s="12">
        <f>C63</f>
        <v>5819.4</v>
      </c>
      <c r="K63" s="4"/>
    </row>
    <row r="64" spans="1:11" x14ac:dyDescent="0.25">
      <c r="C64" s="12"/>
      <c r="D64" s="8"/>
      <c r="E64" s="8"/>
      <c r="F64" s="8"/>
      <c r="G64" s="8"/>
      <c r="H64" s="12"/>
      <c r="J64" s="4"/>
    </row>
    <row r="65" spans="2:14" x14ac:dyDescent="0.25">
      <c r="B65" s="4" t="s">
        <v>200</v>
      </c>
      <c r="C65" s="14">
        <f>SUM(C61:C64)</f>
        <v>855819.4</v>
      </c>
      <c r="H65" s="14">
        <f>SUM(H61:H64)</f>
        <v>855819.4</v>
      </c>
      <c r="J65" s="4"/>
      <c r="K65" s="4"/>
    </row>
    <row r="66" spans="2:14" x14ac:dyDescent="0.25">
      <c r="B66" s="1" t="s">
        <v>273</v>
      </c>
      <c r="C66" s="4"/>
      <c r="H66" s="4"/>
    </row>
    <row r="67" spans="2:14" x14ac:dyDescent="0.25">
      <c r="B67" s="5" t="s">
        <v>220</v>
      </c>
      <c r="C67" s="4"/>
      <c r="D67" s="4"/>
      <c r="E67" s="4"/>
      <c r="F67" s="4"/>
      <c r="G67" s="4"/>
      <c r="H67" s="4"/>
    </row>
    <row r="68" spans="2:14" x14ac:dyDescent="0.25">
      <c r="B68" s="5" t="s">
        <v>219</v>
      </c>
      <c r="C68" s="4">
        <v>508630.96</v>
      </c>
      <c r="D68" s="10">
        <v>1.5</v>
      </c>
      <c r="E68" s="10">
        <f t="shared" ref="E68:E73" si="0">ROUND(C68*D68/100,2)</f>
        <v>7629.46</v>
      </c>
      <c r="F68" s="10">
        <f>30517.84+E68+E68</f>
        <v>45776.76</v>
      </c>
      <c r="G68" s="10">
        <f t="shared" ref="G68:G73" si="1">E68+F68</f>
        <v>53406.22</v>
      </c>
      <c r="H68" s="10">
        <f t="shared" ref="H68:H73" si="2">C68-G68</f>
        <v>455224.74</v>
      </c>
      <c r="J68" s="4"/>
      <c r="K68" s="4"/>
    </row>
    <row r="69" spans="2:14" x14ac:dyDescent="0.25">
      <c r="B69" s="5" t="s">
        <v>386</v>
      </c>
      <c r="C69" s="4">
        <v>930977.65</v>
      </c>
      <c r="D69" s="4">
        <v>1.5</v>
      </c>
      <c r="E69" s="4">
        <f t="shared" si="0"/>
        <v>13964.66</v>
      </c>
      <c r="F69" s="4">
        <f>54670.42+E69+E69</f>
        <v>82599.740000000005</v>
      </c>
      <c r="G69" s="4">
        <f t="shared" si="1"/>
        <v>96564.400000000009</v>
      </c>
      <c r="H69" s="4">
        <f t="shared" si="2"/>
        <v>834413.25</v>
      </c>
    </row>
    <row r="70" spans="2:14" x14ac:dyDescent="0.25">
      <c r="B70" s="5" t="s">
        <v>387</v>
      </c>
      <c r="C70" s="4">
        <v>3448.5</v>
      </c>
      <c r="D70" s="10">
        <v>1.5</v>
      </c>
      <c r="E70" s="4">
        <f t="shared" si="0"/>
        <v>51.73</v>
      </c>
      <c r="F70" s="10">
        <v>51.73</v>
      </c>
      <c r="G70" s="10">
        <f t="shared" si="1"/>
        <v>103.46</v>
      </c>
      <c r="H70" s="10">
        <f t="shared" si="2"/>
        <v>3345.04</v>
      </c>
      <c r="K70" s="4"/>
    </row>
    <row r="71" spans="2:14" x14ac:dyDescent="0.25">
      <c r="B71" s="5" t="s">
        <v>410</v>
      </c>
      <c r="C71" s="4">
        <v>2867</v>
      </c>
      <c r="D71" s="10">
        <v>1.5</v>
      </c>
      <c r="E71" s="4">
        <f t="shared" si="0"/>
        <v>43.01</v>
      </c>
      <c r="F71" s="10">
        <v>43.01</v>
      </c>
      <c r="G71" s="10">
        <f t="shared" si="1"/>
        <v>86.02</v>
      </c>
      <c r="H71" s="10">
        <f t="shared" si="2"/>
        <v>2780.98</v>
      </c>
    </row>
    <row r="72" spans="2:14" x14ac:dyDescent="0.25">
      <c r="B72" s="5" t="s">
        <v>411</v>
      </c>
      <c r="C72" s="10">
        <v>-11465.6</v>
      </c>
      <c r="D72" s="10">
        <v>1.5</v>
      </c>
      <c r="E72" s="4">
        <f t="shared" si="0"/>
        <v>-171.98</v>
      </c>
      <c r="F72" s="10">
        <f>-171.98+E72+E72</f>
        <v>-515.93999999999994</v>
      </c>
      <c r="G72" s="10">
        <f t="shared" si="1"/>
        <v>-687.92</v>
      </c>
      <c r="H72" s="10">
        <f t="shared" si="2"/>
        <v>-10777.68</v>
      </c>
    </row>
    <row r="73" spans="2:14" x14ac:dyDescent="0.25">
      <c r="B73" s="5" t="s">
        <v>412</v>
      </c>
      <c r="C73" s="12">
        <v>-2080</v>
      </c>
      <c r="D73" s="12">
        <v>1.5</v>
      </c>
      <c r="E73" s="12">
        <f t="shared" si="0"/>
        <v>-31.2</v>
      </c>
      <c r="F73" s="12">
        <f>-31.2</f>
        <v>-31.2</v>
      </c>
      <c r="G73" s="10">
        <f t="shared" si="1"/>
        <v>-62.4</v>
      </c>
      <c r="H73" s="10">
        <f t="shared" si="2"/>
        <v>-2017.6</v>
      </c>
    </row>
    <row r="74" spans="2:14" x14ac:dyDescent="0.25">
      <c r="B74" s="5" t="s">
        <v>251</v>
      </c>
      <c r="C74" s="4">
        <f>SUM(C69:C73)</f>
        <v>923747.55</v>
      </c>
      <c r="E74" s="4">
        <f>SUM(E69:E73)</f>
        <v>13856.22</v>
      </c>
      <c r="F74" s="12">
        <f>SUM(F69:F73)</f>
        <v>82147.34</v>
      </c>
      <c r="G74" s="25">
        <f>SUM(G69:G73)</f>
        <v>96003.560000000027</v>
      </c>
      <c r="H74" s="25">
        <f>SUM(H69:H73)</f>
        <v>827743.99</v>
      </c>
      <c r="J74" s="4"/>
    </row>
    <row r="75" spans="2:14" x14ac:dyDescent="0.25">
      <c r="B75" s="4" t="s">
        <v>201</v>
      </c>
      <c r="C75" s="14">
        <f>C68+C74</f>
        <v>1432378.51</v>
      </c>
      <c r="E75" s="14">
        <f>E68+E74</f>
        <v>21485.68</v>
      </c>
      <c r="F75" s="17">
        <f>F68+F74</f>
        <v>127924.1</v>
      </c>
      <c r="G75" s="17">
        <f>G68+G74</f>
        <v>149409.78000000003</v>
      </c>
      <c r="H75" s="17">
        <f>H68+H74</f>
        <v>1282968.73</v>
      </c>
      <c r="J75" s="4"/>
    </row>
    <row r="76" spans="2:14" x14ac:dyDescent="0.25">
      <c r="B76" s="1" t="s">
        <v>274</v>
      </c>
      <c r="C76" s="4"/>
      <c r="E76" s="4"/>
      <c r="F76" s="4"/>
      <c r="J76" s="4"/>
      <c r="L76" s="4"/>
    </row>
    <row r="77" spans="2:14" x14ac:dyDescent="0.25">
      <c r="B77" s="4" t="s">
        <v>177</v>
      </c>
      <c r="C77" s="4">
        <v>747.61</v>
      </c>
      <c r="D77" s="4"/>
      <c r="E77" s="4">
        <v>0</v>
      </c>
      <c r="F77" s="4">
        <v>747.61</v>
      </c>
      <c r="G77" s="4">
        <f t="shared" ref="G77:G83" si="3">E77+F77</f>
        <v>747.61</v>
      </c>
      <c r="H77" s="4">
        <f t="shared" ref="H77:H83" si="4">C77-G77</f>
        <v>0</v>
      </c>
      <c r="J77" s="4"/>
    </row>
    <row r="78" spans="2:14" x14ac:dyDescent="0.25">
      <c r="B78" s="5" t="s">
        <v>27</v>
      </c>
      <c r="C78" s="4">
        <v>2040</v>
      </c>
      <c r="D78" s="4">
        <v>5</v>
      </c>
      <c r="E78" s="4">
        <v>102</v>
      </c>
      <c r="F78" s="4">
        <f>1938+102</f>
        <v>2040</v>
      </c>
      <c r="G78" s="4">
        <f t="shared" si="3"/>
        <v>2142</v>
      </c>
      <c r="H78" s="4">
        <f t="shared" si="4"/>
        <v>-102</v>
      </c>
    </row>
    <row r="79" spans="2:14" x14ac:dyDescent="0.25">
      <c r="B79" s="5" t="s">
        <v>145</v>
      </c>
      <c r="C79" s="4">
        <v>2400</v>
      </c>
      <c r="D79" s="4">
        <v>10</v>
      </c>
      <c r="E79" s="4">
        <f t="shared" ref="E79:E102" si="5">ROUND(C79*D79/100,2)</f>
        <v>240</v>
      </c>
      <c r="F79" s="4">
        <f>1560+E79+240</f>
        <v>2040</v>
      </c>
      <c r="G79" s="4">
        <f t="shared" si="3"/>
        <v>2280</v>
      </c>
      <c r="H79" s="4">
        <f t="shared" si="4"/>
        <v>120</v>
      </c>
      <c r="J79" s="4"/>
      <c r="N79" s="4"/>
    </row>
    <row r="80" spans="2:14" x14ac:dyDescent="0.25">
      <c r="B80" s="5" t="s">
        <v>146</v>
      </c>
      <c r="C80" s="4">
        <v>1224</v>
      </c>
      <c r="D80" s="4">
        <v>10</v>
      </c>
      <c r="E80" s="4">
        <f t="shared" si="5"/>
        <v>122.4</v>
      </c>
      <c r="F80" s="4">
        <f>795.6+E80+E80</f>
        <v>1040.4000000000001</v>
      </c>
      <c r="G80" s="4">
        <f t="shared" si="3"/>
        <v>1162.8000000000002</v>
      </c>
      <c r="H80" s="4">
        <f t="shared" si="4"/>
        <v>61.199999999999818</v>
      </c>
    </row>
    <row r="81" spans="2:14" x14ac:dyDescent="0.25">
      <c r="B81" s="5" t="s">
        <v>147</v>
      </c>
      <c r="C81" s="4">
        <v>21948.84</v>
      </c>
      <c r="D81" s="4">
        <v>10</v>
      </c>
      <c r="E81" s="4">
        <f t="shared" si="5"/>
        <v>2194.88</v>
      </c>
      <c r="F81" s="4">
        <f>14266.76+E81+E81</f>
        <v>18656.52</v>
      </c>
      <c r="G81" s="4">
        <f t="shared" si="3"/>
        <v>20851.400000000001</v>
      </c>
      <c r="H81" s="4">
        <f t="shared" si="4"/>
        <v>1097.4399999999987</v>
      </c>
      <c r="J81" s="4"/>
      <c r="N81" s="4"/>
    </row>
    <row r="82" spans="2:14" x14ac:dyDescent="0.25">
      <c r="B82" s="5" t="s">
        <v>148</v>
      </c>
      <c r="C82" s="4">
        <v>40800</v>
      </c>
      <c r="D82" s="4">
        <v>10</v>
      </c>
      <c r="E82" s="4">
        <f t="shared" si="5"/>
        <v>4080</v>
      </c>
      <c r="F82" s="4">
        <f>26520+E82+E82</f>
        <v>34680</v>
      </c>
      <c r="G82" s="4">
        <f t="shared" si="3"/>
        <v>38760</v>
      </c>
      <c r="H82" s="4">
        <f t="shared" si="4"/>
        <v>2040</v>
      </c>
      <c r="N82" s="4"/>
    </row>
    <row r="83" spans="2:14" x14ac:dyDescent="0.25">
      <c r="B83" s="2" t="s">
        <v>149</v>
      </c>
      <c r="C83" s="4">
        <v>16800</v>
      </c>
      <c r="D83" s="4">
        <v>10</v>
      </c>
      <c r="E83" s="4">
        <f t="shared" si="5"/>
        <v>1680</v>
      </c>
      <c r="F83" s="4">
        <f>10920+E83+E83</f>
        <v>14280</v>
      </c>
      <c r="G83" s="4">
        <f t="shared" si="3"/>
        <v>15960</v>
      </c>
      <c r="H83" s="4">
        <f t="shared" si="4"/>
        <v>840</v>
      </c>
      <c r="J83" s="4"/>
    </row>
    <row r="84" spans="2:14" x14ac:dyDescent="0.25">
      <c r="B84" s="8" t="s">
        <v>150</v>
      </c>
      <c r="C84" s="4">
        <v>2708.09</v>
      </c>
      <c r="D84" s="4">
        <v>10</v>
      </c>
      <c r="E84" s="4">
        <f t="shared" si="5"/>
        <v>270.81</v>
      </c>
      <c r="F84" s="4">
        <f>1760.26+E84+E84</f>
        <v>2301.88</v>
      </c>
      <c r="G84" s="4">
        <f t="shared" ref="G84:G89" si="6">E84+F84</f>
        <v>2572.69</v>
      </c>
      <c r="H84" s="4">
        <f t="shared" ref="H84:H90" si="7">C84-G84</f>
        <v>135.40000000000009</v>
      </c>
    </row>
    <row r="85" spans="2:14" x14ac:dyDescent="0.25">
      <c r="B85" s="8" t="s">
        <v>172</v>
      </c>
      <c r="C85" s="4">
        <v>3916.08</v>
      </c>
      <c r="D85" s="4">
        <v>10</v>
      </c>
      <c r="E85" s="4">
        <f t="shared" si="5"/>
        <v>391.61</v>
      </c>
      <c r="F85" s="4">
        <f>2545.46+E85+E85</f>
        <v>3328.6800000000003</v>
      </c>
      <c r="G85" s="4">
        <f t="shared" si="6"/>
        <v>3720.2900000000004</v>
      </c>
      <c r="H85" s="4">
        <f t="shared" si="7"/>
        <v>195.78999999999951</v>
      </c>
      <c r="N85" s="4"/>
    </row>
    <row r="86" spans="2:14" x14ac:dyDescent="0.25">
      <c r="B86" s="2" t="s">
        <v>151</v>
      </c>
      <c r="C86" s="4">
        <v>2523.8000000000002</v>
      </c>
      <c r="D86" s="4">
        <v>10</v>
      </c>
      <c r="E86" s="4">
        <f t="shared" si="5"/>
        <v>252.38</v>
      </c>
      <c r="F86" s="4">
        <f>1640.47+E86+E86</f>
        <v>2145.23</v>
      </c>
      <c r="G86" s="4">
        <f t="shared" si="6"/>
        <v>2397.61</v>
      </c>
      <c r="H86" s="4">
        <f t="shared" si="7"/>
        <v>126.19000000000005</v>
      </c>
      <c r="J86" s="4"/>
      <c r="N86" s="4"/>
    </row>
    <row r="87" spans="2:14" x14ac:dyDescent="0.25">
      <c r="B87" s="8" t="s">
        <v>152</v>
      </c>
      <c r="C87" s="4">
        <v>12216.94</v>
      </c>
      <c r="D87" s="4">
        <v>10</v>
      </c>
      <c r="E87" s="4">
        <f t="shared" si="5"/>
        <v>1221.69</v>
      </c>
      <c r="F87" s="4">
        <f>7941+E87+E87</f>
        <v>10384.380000000001</v>
      </c>
      <c r="G87" s="4">
        <f t="shared" si="6"/>
        <v>11606.070000000002</v>
      </c>
      <c r="H87" s="4">
        <f t="shared" si="7"/>
        <v>610.86999999999898</v>
      </c>
      <c r="N87" s="4"/>
    </row>
    <row r="88" spans="2:14" x14ac:dyDescent="0.25">
      <c r="B88" s="8" t="s">
        <v>153</v>
      </c>
      <c r="C88" s="4">
        <v>735.6</v>
      </c>
      <c r="D88" s="4">
        <v>10</v>
      </c>
      <c r="E88" s="4">
        <f t="shared" si="5"/>
        <v>73.56</v>
      </c>
      <c r="F88" s="4">
        <f>478.14+E88+E88</f>
        <v>625.26</v>
      </c>
      <c r="G88" s="4">
        <f t="shared" si="6"/>
        <v>698.81999999999994</v>
      </c>
      <c r="H88" s="4">
        <f t="shared" si="7"/>
        <v>36.780000000000086</v>
      </c>
      <c r="J88" s="4"/>
    </row>
    <row r="89" spans="2:14" x14ac:dyDescent="0.25">
      <c r="B89" s="8" t="s">
        <v>154</v>
      </c>
      <c r="C89" s="4">
        <v>4200</v>
      </c>
      <c r="D89" s="4">
        <v>10</v>
      </c>
      <c r="E89" s="4">
        <f t="shared" si="5"/>
        <v>420</v>
      </c>
      <c r="F89" s="4">
        <f>2730+E89+E89</f>
        <v>3570</v>
      </c>
      <c r="G89" s="4">
        <f t="shared" si="6"/>
        <v>3990</v>
      </c>
      <c r="H89" s="4">
        <f t="shared" si="7"/>
        <v>210</v>
      </c>
    </row>
    <row r="90" spans="2:14" x14ac:dyDescent="0.25">
      <c r="B90" s="8" t="s">
        <v>349</v>
      </c>
      <c r="C90" s="4">
        <v>2920.94</v>
      </c>
      <c r="D90" s="4">
        <v>10</v>
      </c>
      <c r="E90" s="4">
        <f t="shared" si="5"/>
        <v>292.08999999999997</v>
      </c>
      <c r="F90" s="4">
        <f>146.05+E90+E90</f>
        <v>730.23</v>
      </c>
      <c r="G90" s="4">
        <f>E90+F90</f>
        <v>1022.3199999999999</v>
      </c>
      <c r="H90" s="4">
        <f t="shared" si="7"/>
        <v>1898.6200000000001</v>
      </c>
      <c r="J90" s="4"/>
      <c r="N90" s="4"/>
    </row>
    <row r="91" spans="2:14" x14ac:dyDescent="0.25">
      <c r="B91" s="8" t="s">
        <v>350</v>
      </c>
      <c r="C91" s="4">
        <v>3138.74</v>
      </c>
      <c r="D91" s="4">
        <v>10</v>
      </c>
      <c r="E91" s="4">
        <f t="shared" si="5"/>
        <v>313.87</v>
      </c>
      <c r="F91" s="4">
        <f>156.94+E91+E91</f>
        <v>784.68000000000006</v>
      </c>
      <c r="G91" s="4">
        <f t="shared" ref="G91:G101" si="8">E91+F91</f>
        <v>1098.5500000000002</v>
      </c>
      <c r="H91" s="4">
        <f t="shared" ref="H91:H101" si="9">C91-G91</f>
        <v>2040.1899999999996</v>
      </c>
    </row>
    <row r="92" spans="2:14" x14ac:dyDescent="0.25">
      <c r="B92" s="8" t="s">
        <v>388</v>
      </c>
      <c r="C92" s="4">
        <v>49610</v>
      </c>
      <c r="D92" s="4">
        <v>10</v>
      </c>
      <c r="E92" s="4">
        <f t="shared" si="5"/>
        <v>4961</v>
      </c>
      <c r="F92" s="4">
        <f>2480.5+E92</f>
        <v>7441.5</v>
      </c>
      <c r="G92" s="4">
        <f t="shared" si="8"/>
        <v>12402.5</v>
      </c>
      <c r="H92" s="4">
        <f t="shared" si="9"/>
        <v>37207.5</v>
      </c>
      <c r="N92" s="4"/>
    </row>
    <row r="93" spans="2:14" x14ac:dyDescent="0.25">
      <c r="B93" s="8" t="s">
        <v>389</v>
      </c>
      <c r="C93" s="4">
        <v>1132.56</v>
      </c>
      <c r="D93" s="4">
        <v>10</v>
      </c>
      <c r="E93" s="4">
        <f t="shared" si="5"/>
        <v>113.26</v>
      </c>
      <c r="F93" s="4">
        <f>56.63+E93</f>
        <v>169.89000000000001</v>
      </c>
      <c r="G93" s="4">
        <f t="shared" si="8"/>
        <v>283.15000000000003</v>
      </c>
      <c r="H93" s="4">
        <f t="shared" si="9"/>
        <v>849.40999999999985</v>
      </c>
    </row>
    <row r="94" spans="2:14" x14ac:dyDescent="0.25">
      <c r="B94" s="8" t="s">
        <v>393</v>
      </c>
      <c r="C94" s="4">
        <v>2516.8000000000002</v>
      </c>
      <c r="D94" s="4">
        <v>10</v>
      </c>
      <c r="E94" s="4">
        <f t="shared" si="5"/>
        <v>251.68</v>
      </c>
      <c r="F94" s="4">
        <f>125.84+E94</f>
        <v>377.52</v>
      </c>
      <c r="G94" s="4">
        <f t="shared" si="8"/>
        <v>629.20000000000005</v>
      </c>
      <c r="H94" s="4">
        <f t="shared" si="9"/>
        <v>1887.6000000000001</v>
      </c>
      <c r="J94" s="4"/>
    </row>
    <row r="95" spans="2:14" x14ac:dyDescent="0.25">
      <c r="B95" s="8" t="s">
        <v>390</v>
      </c>
      <c r="C95" s="4">
        <v>52671.3</v>
      </c>
      <c r="D95" s="4">
        <v>10</v>
      </c>
      <c r="E95" s="4">
        <f t="shared" si="5"/>
        <v>5267.13</v>
      </c>
      <c r="F95" s="4">
        <f>2633.57+E95</f>
        <v>7900.7000000000007</v>
      </c>
      <c r="G95" s="4">
        <f t="shared" si="8"/>
        <v>13167.830000000002</v>
      </c>
      <c r="H95" s="4">
        <f t="shared" si="9"/>
        <v>39503.47</v>
      </c>
    </row>
    <row r="96" spans="2:14" x14ac:dyDescent="0.25">
      <c r="B96" s="8" t="s">
        <v>391</v>
      </c>
      <c r="C96" s="4">
        <v>2791.36</v>
      </c>
      <c r="D96" s="4">
        <v>10</v>
      </c>
      <c r="E96" s="4">
        <f t="shared" si="5"/>
        <v>279.14</v>
      </c>
      <c r="F96" s="4">
        <f>139.57+E96</f>
        <v>418.71</v>
      </c>
      <c r="G96" s="4">
        <f t="shared" si="8"/>
        <v>697.84999999999991</v>
      </c>
      <c r="H96" s="4">
        <f t="shared" si="9"/>
        <v>2093.5100000000002</v>
      </c>
      <c r="M96" s="4"/>
    </row>
    <row r="97" spans="1:10" x14ac:dyDescent="0.25">
      <c r="B97" s="8" t="s">
        <v>394</v>
      </c>
      <c r="C97" s="4">
        <v>4440.8</v>
      </c>
      <c r="D97" s="4">
        <v>10</v>
      </c>
      <c r="E97" s="4">
        <f t="shared" si="5"/>
        <v>444.08</v>
      </c>
      <c r="F97" s="4">
        <f>222.04+E97</f>
        <v>666.12</v>
      </c>
      <c r="G97" s="4">
        <f t="shared" si="8"/>
        <v>1110.2</v>
      </c>
      <c r="H97" s="4">
        <f t="shared" si="9"/>
        <v>3330.6000000000004</v>
      </c>
    </row>
    <row r="98" spans="1:10" x14ac:dyDescent="0.25">
      <c r="B98" s="8" t="s">
        <v>392</v>
      </c>
      <c r="C98" s="4">
        <v>1078.48</v>
      </c>
      <c r="D98" s="4">
        <v>10</v>
      </c>
      <c r="E98" s="4">
        <f t="shared" si="5"/>
        <v>107.85</v>
      </c>
      <c r="F98" s="4">
        <f>53.93+E98</f>
        <v>161.78</v>
      </c>
      <c r="G98" s="4">
        <f t="shared" si="8"/>
        <v>269.63</v>
      </c>
      <c r="H98" s="4">
        <f t="shared" si="9"/>
        <v>808.85</v>
      </c>
    </row>
    <row r="99" spans="1:10" x14ac:dyDescent="0.25">
      <c r="B99" s="8" t="s">
        <v>395</v>
      </c>
      <c r="C99" s="4">
        <v>1268.8</v>
      </c>
      <c r="D99" s="4">
        <v>10</v>
      </c>
      <c r="E99" s="4">
        <f t="shared" si="5"/>
        <v>126.88</v>
      </c>
      <c r="F99" s="4">
        <f>63.44+64.44+E99</f>
        <v>254.76</v>
      </c>
      <c r="G99" s="4">
        <f t="shared" si="8"/>
        <v>381.64</v>
      </c>
      <c r="H99" s="4">
        <f t="shared" si="9"/>
        <v>887.16</v>
      </c>
    </row>
    <row r="100" spans="1:10" x14ac:dyDescent="0.25">
      <c r="B100" s="5" t="s">
        <v>415</v>
      </c>
      <c r="C100" s="4">
        <v>-2003.2</v>
      </c>
      <c r="D100" s="4">
        <v>10</v>
      </c>
      <c r="E100" s="4">
        <f t="shared" si="5"/>
        <v>-200.32</v>
      </c>
      <c r="F100" s="4">
        <f>-100.16+E100+E100</f>
        <v>-500.8</v>
      </c>
      <c r="G100" s="4">
        <f t="shared" si="8"/>
        <v>-701.12</v>
      </c>
      <c r="H100" s="4">
        <f t="shared" si="9"/>
        <v>-1302.08</v>
      </c>
      <c r="J100" s="4"/>
    </row>
    <row r="101" spans="1:10" x14ac:dyDescent="0.25">
      <c r="B101" s="5" t="s">
        <v>416</v>
      </c>
      <c r="C101" s="4">
        <v>-33812</v>
      </c>
      <c r="D101" s="4">
        <v>10</v>
      </c>
      <c r="E101" s="4">
        <f t="shared" si="5"/>
        <v>-3381.2</v>
      </c>
      <c r="F101" s="4">
        <f>-1690.6+E101</f>
        <v>-5071.7999999999993</v>
      </c>
      <c r="G101" s="4">
        <f t="shared" si="8"/>
        <v>-8453</v>
      </c>
      <c r="H101" s="4">
        <f t="shared" si="9"/>
        <v>-25359</v>
      </c>
    </row>
    <row r="102" spans="1:10" x14ac:dyDescent="0.25">
      <c r="A102" s="8"/>
      <c r="B102" s="8" t="s">
        <v>417</v>
      </c>
      <c r="C102" s="12">
        <v>-4347.2</v>
      </c>
      <c r="D102" s="12">
        <v>10</v>
      </c>
      <c r="E102" s="4">
        <f t="shared" si="5"/>
        <v>-434.72</v>
      </c>
      <c r="F102" s="12">
        <f>-217.36+E102</f>
        <v>-652.08000000000004</v>
      </c>
      <c r="G102" s="12">
        <f>E102+F102</f>
        <v>-1086.8000000000002</v>
      </c>
      <c r="H102" s="12">
        <f>C102-G102</f>
        <v>-3260.3999999999996</v>
      </c>
    </row>
    <row r="103" spans="1:10" x14ac:dyDescent="0.25">
      <c r="A103" s="8"/>
      <c r="B103" s="8" t="s">
        <v>155</v>
      </c>
      <c r="C103" s="14">
        <f>SUM(C77:C102)</f>
        <v>193668.33999999994</v>
      </c>
      <c r="D103" s="8"/>
      <c r="E103" s="14">
        <f>SUM(E77:E102)</f>
        <v>19190.07</v>
      </c>
      <c r="F103" s="14">
        <f>SUM(F77:F102)</f>
        <v>108521.16999999997</v>
      </c>
      <c r="G103" s="14">
        <f>SUM(G77:G102)</f>
        <v>127711.24000000006</v>
      </c>
      <c r="H103" s="14">
        <f>SUM(H77:H102)</f>
        <v>65957.100000000006</v>
      </c>
      <c r="J103" s="4"/>
    </row>
    <row r="104" spans="1:10" x14ac:dyDescent="0.25">
      <c r="A104" s="8"/>
      <c r="B104" s="8"/>
      <c r="C104" s="8"/>
      <c r="D104" s="8"/>
      <c r="E104" s="8"/>
      <c r="F104" s="8"/>
      <c r="G104" s="8"/>
      <c r="H104" s="8"/>
    </row>
    <row r="105" spans="1:10" x14ac:dyDescent="0.25">
      <c r="A105" s="8"/>
      <c r="B105" s="8"/>
      <c r="C105" s="8"/>
      <c r="D105" s="8"/>
      <c r="E105" s="8"/>
      <c r="F105" s="8"/>
      <c r="G105" s="8"/>
      <c r="H105" s="8"/>
    </row>
    <row r="106" spans="1:10" x14ac:dyDescent="0.25">
      <c r="A106" s="8"/>
      <c r="B106" s="8"/>
      <c r="C106" s="8"/>
      <c r="D106" s="8"/>
      <c r="E106" s="8"/>
      <c r="F106" s="8"/>
      <c r="G106" s="8"/>
      <c r="H106" s="8"/>
    </row>
    <row r="107" spans="1:10" x14ac:dyDescent="0.25">
      <c r="A107" s="8"/>
      <c r="B107" s="8"/>
      <c r="C107" s="8"/>
      <c r="D107" s="8"/>
      <c r="E107" s="8"/>
      <c r="F107" s="8"/>
      <c r="G107" s="8"/>
      <c r="H107" s="8"/>
    </row>
    <row r="108" spans="1:10" x14ac:dyDescent="0.25">
      <c r="A108" s="8"/>
      <c r="B108" s="8"/>
      <c r="C108" s="8"/>
      <c r="D108" s="8"/>
      <c r="E108" s="8"/>
      <c r="F108" s="8"/>
      <c r="G108" s="8"/>
      <c r="H108" s="8"/>
    </row>
    <row r="109" spans="1:10" x14ac:dyDescent="0.25">
      <c r="A109" s="8"/>
      <c r="B109" s="8"/>
      <c r="C109" s="8"/>
      <c r="D109" s="8"/>
      <c r="E109" s="8"/>
      <c r="F109" s="8"/>
      <c r="G109" s="8"/>
      <c r="H109" s="8"/>
    </row>
    <row r="110" spans="1:10" x14ac:dyDescent="0.25">
      <c r="A110" s="8"/>
      <c r="B110" s="8"/>
      <c r="C110" s="8"/>
      <c r="D110" s="8"/>
      <c r="E110" s="8"/>
      <c r="F110" s="8"/>
      <c r="G110" s="8"/>
      <c r="H110" s="8"/>
    </row>
    <row r="111" spans="1:10" x14ac:dyDescent="0.25">
      <c r="A111" s="8"/>
      <c r="B111" s="26"/>
      <c r="C111" s="10"/>
      <c r="D111" s="10"/>
      <c r="E111" s="10"/>
      <c r="F111" s="10"/>
      <c r="G111" s="10"/>
      <c r="H111" s="10"/>
    </row>
    <row r="112" spans="1:10" x14ac:dyDescent="0.25">
      <c r="A112" s="8"/>
      <c r="B112" s="26"/>
      <c r="C112" s="10"/>
      <c r="D112" s="10"/>
      <c r="E112" s="10"/>
      <c r="F112" s="10"/>
      <c r="G112" s="10"/>
      <c r="H112" s="10"/>
    </row>
    <row r="113" spans="1:10" x14ac:dyDescent="0.25">
      <c r="A113" s="8"/>
      <c r="B113" s="8" t="s">
        <v>217</v>
      </c>
      <c r="C113" s="8" t="s">
        <v>216</v>
      </c>
      <c r="D113" s="8"/>
      <c r="E113" s="8"/>
      <c r="F113" s="8"/>
      <c r="G113" s="8"/>
      <c r="H113" s="10"/>
    </row>
    <row r="114" spans="1:10" x14ac:dyDescent="0.25">
      <c r="A114" s="8"/>
      <c r="B114" s="8" t="s">
        <v>561</v>
      </c>
      <c r="C114" s="8"/>
      <c r="D114" s="8"/>
      <c r="E114" s="8"/>
      <c r="F114" s="8"/>
      <c r="G114" s="8"/>
      <c r="H114" s="8"/>
    </row>
    <row r="115" spans="1:10" x14ac:dyDescent="0.25">
      <c r="A115" s="8"/>
      <c r="B115" s="26"/>
      <c r="C115" s="8" t="s">
        <v>4</v>
      </c>
      <c r="D115" s="8" t="s">
        <v>0</v>
      </c>
      <c r="E115" s="8" t="s">
        <v>1</v>
      </c>
      <c r="F115" s="8" t="s">
        <v>2</v>
      </c>
      <c r="G115" s="8" t="s">
        <v>3</v>
      </c>
      <c r="H115" s="8" t="s">
        <v>5</v>
      </c>
    </row>
    <row r="116" spans="1:10" x14ac:dyDescent="0.25">
      <c r="A116" s="8">
        <v>3</v>
      </c>
      <c r="B116" s="11" t="s">
        <v>272</v>
      </c>
      <c r="C116" s="8"/>
      <c r="D116" s="8"/>
      <c r="E116" s="8"/>
      <c r="F116" s="8"/>
      <c r="G116" s="8"/>
      <c r="H116" s="8"/>
    </row>
    <row r="117" spans="1:10" x14ac:dyDescent="0.25">
      <c r="A117" s="8"/>
      <c r="B117" s="8" t="s">
        <v>396</v>
      </c>
      <c r="C117" s="10">
        <v>1002349.97</v>
      </c>
      <c r="D117" s="8"/>
      <c r="E117" s="10">
        <v>0</v>
      </c>
      <c r="F117" s="10">
        <v>1002349.97</v>
      </c>
      <c r="G117" s="10">
        <v>1002349.97</v>
      </c>
      <c r="H117" s="10">
        <v>0</v>
      </c>
    </row>
    <row r="118" spans="1:10" x14ac:dyDescent="0.25">
      <c r="A118" s="8"/>
      <c r="B118" s="26" t="s">
        <v>84</v>
      </c>
      <c r="C118" s="10">
        <v>23425.119999999999</v>
      </c>
      <c r="D118" s="10">
        <v>5</v>
      </c>
      <c r="E118" s="10">
        <v>468.47</v>
      </c>
      <c r="F118" s="10">
        <v>23425.120000000003</v>
      </c>
      <c r="G118" s="10">
        <f>E118+F118</f>
        <v>23893.590000000004</v>
      </c>
      <c r="H118" s="10">
        <v>-468.47</v>
      </c>
      <c r="J118" s="4"/>
    </row>
    <row r="119" spans="1:10" x14ac:dyDescent="0.25">
      <c r="A119" s="8"/>
      <c r="B119" s="26" t="s">
        <v>85</v>
      </c>
      <c r="C119" s="10">
        <v>245.83</v>
      </c>
      <c r="D119" s="10">
        <v>5</v>
      </c>
      <c r="E119" s="10">
        <v>4.93</v>
      </c>
      <c r="F119" s="10">
        <v>245.83</v>
      </c>
      <c r="G119" s="10">
        <f>E119+F119</f>
        <v>250.76000000000002</v>
      </c>
      <c r="H119" s="10">
        <v>-4.93</v>
      </c>
    </row>
    <row r="120" spans="1:10" x14ac:dyDescent="0.25">
      <c r="B120" s="15" t="s">
        <v>86</v>
      </c>
      <c r="C120" s="4">
        <v>2458.33</v>
      </c>
      <c r="D120" s="4">
        <v>5</v>
      </c>
      <c r="E120" s="4">
        <f t="shared" ref="E120:E125" si="10">ROUND(C120*D120/100,2)</f>
        <v>122.92</v>
      </c>
      <c r="F120" s="4">
        <f>2040.43+E120*2</f>
        <v>2286.27</v>
      </c>
      <c r="G120" s="4">
        <f t="shared" ref="G120:G125" si="11">E120+F120</f>
        <v>2409.19</v>
      </c>
      <c r="H120" s="4">
        <f t="shared" ref="H120:H125" si="12">C120-G120</f>
        <v>49.139999999999873</v>
      </c>
      <c r="J120" s="10"/>
    </row>
    <row r="121" spans="1:10" x14ac:dyDescent="0.25">
      <c r="B121" s="15" t="s">
        <v>87</v>
      </c>
      <c r="C121" s="4">
        <v>1589.65</v>
      </c>
      <c r="D121" s="4">
        <v>5</v>
      </c>
      <c r="E121" s="4">
        <f t="shared" si="10"/>
        <v>79.48</v>
      </c>
      <c r="F121" s="4">
        <f>1319.4+E121*2</f>
        <v>1478.3600000000001</v>
      </c>
      <c r="G121" s="4">
        <f t="shared" si="11"/>
        <v>1557.8400000000001</v>
      </c>
      <c r="H121" s="4">
        <f t="shared" si="12"/>
        <v>31.809999999999945</v>
      </c>
      <c r="J121" s="10"/>
    </row>
    <row r="122" spans="1:10" x14ac:dyDescent="0.25">
      <c r="B122" s="15" t="s">
        <v>88</v>
      </c>
      <c r="C122" s="10">
        <v>619.75</v>
      </c>
      <c r="D122" s="10">
        <v>5</v>
      </c>
      <c r="E122" s="10">
        <f t="shared" si="10"/>
        <v>30.99</v>
      </c>
      <c r="F122" s="10">
        <f>514.4+E122*2</f>
        <v>576.38</v>
      </c>
      <c r="G122" s="10">
        <f t="shared" si="11"/>
        <v>607.37</v>
      </c>
      <c r="H122" s="10">
        <f t="shared" si="12"/>
        <v>12.379999999999995</v>
      </c>
    </row>
    <row r="123" spans="1:10" x14ac:dyDescent="0.25">
      <c r="B123" s="15" t="s">
        <v>89</v>
      </c>
      <c r="C123" s="10">
        <v>5626.69</v>
      </c>
      <c r="D123" s="10">
        <v>5</v>
      </c>
      <c r="E123" s="10">
        <f t="shared" si="10"/>
        <v>281.33</v>
      </c>
      <c r="F123" s="10">
        <f>4670.14+E123*2</f>
        <v>5232.8</v>
      </c>
      <c r="G123" s="10">
        <f t="shared" si="11"/>
        <v>5514.13</v>
      </c>
      <c r="H123" s="10">
        <f t="shared" si="12"/>
        <v>112.55999999999949</v>
      </c>
    </row>
    <row r="124" spans="1:10" x14ac:dyDescent="0.25">
      <c r="B124" s="15" t="s">
        <v>90</v>
      </c>
      <c r="C124" s="4">
        <v>793.28</v>
      </c>
      <c r="D124" s="4">
        <v>5</v>
      </c>
      <c r="E124" s="4">
        <f t="shared" si="10"/>
        <v>39.659999999999997</v>
      </c>
      <c r="F124" s="4">
        <f>658.4+E124*2</f>
        <v>737.72</v>
      </c>
      <c r="G124" s="4">
        <f t="shared" si="11"/>
        <v>777.38</v>
      </c>
      <c r="H124" s="4">
        <f t="shared" si="12"/>
        <v>15.899999999999977</v>
      </c>
    </row>
    <row r="125" spans="1:10" x14ac:dyDescent="0.25">
      <c r="B125" s="15" t="s">
        <v>91</v>
      </c>
      <c r="C125" s="4">
        <v>10185.56</v>
      </c>
      <c r="D125" s="4">
        <v>5</v>
      </c>
      <c r="E125" s="4">
        <f t="shared" si="10"/>
        <v>509.28</v>
      </c>
      <c r="F125" s="4">
        <f>8454.04+E125*2</f>
        <v>9472.6</v>
      </c>
      <c r="G125" s="4">
        <f t="shared" si="11"/>
        <v>9981.880000000001</v>
      </c>
      <c r="H125" s="4">
        <f t="shared" si="12"/>
        <v>203.67999999999847</v>
      </c>
    </row>
    <row r="126" spans="1:10" x14ac:dyDescent="0.25">
      <c r="B126" s="15" t="s">
        <v>92</v>
      </c>
      <c r="C126" s="4">
        <v>93303.1</v>
      </c>
      <c r="D126" s="4">
        <v>5</v>
      </c>
      <c r="E126" s="4">
        <v>4665.1499999999996</v>
      </c>
      <c r="F126" s="4">
        <f>77441.55+E126*2</f>
        <v>86771.85</v>
      </c>
      <c r="G126" s="4">
        <f t="shared" ref="G126:G157" si="13">E126+F126</f>
        <v>91437</v>
      </c>
      <c r="H126" s="4">
        <f t="shared" ref="H126:H157" si="14">C126-G126</f>
        <v>1866.1000000000058</v>
      </c>
      <c r="J126" s="4"/>
    </row>
    <row r="127" spans="1:10" x14ac:dyDescent="0.25">
      <c r="B127" s="15" t="s">
        <v>93</v>
      </c>
      <c r="C127" s="4">
        <v>11496.33</v>
      </c>
      <c r="D127" s="4">
        <v>5</v>
      </c>
      <c r="E127" s="4">
        <f>ROUND(C127*D127/100,2)</f>
        <v>574.82000000000005</v>
      </c>
      <c r="F127" s="4">
        <f>9541.97+E127*2</f>
        <v>10691.609999999999</v>
      </c>
      <c r="G127" s="4">
        <f t="shared" si="13"/>
        <v>11266.429999999998</v>
      </c>
      <c r="H127" s="4">
        <f t="shared" si="14"/>
        <v>229.90000000000146</v>
      </c>
    </row>
    <row r="128" spans="1:10" x14ac:dyDescent="0.25">
      <c r="B128" s="15" t="s">
        <v>94</v>
      </c>
      <c r="C128" s="4">
        <v>2522.25</v>
      </c>
      <c r="D128" s="4">
        <v>5</v>
      </c>
      <c r="E128" s="4">
        <f>ROUND(C128*D128/100,2)</f>
        <v>126.11</v>
      </c>
      <c r="F128" s="4">
        <f>2093.46+E128*2</f>
        <v>2345.6799999999998</v>
      </c>
      <c r="G128" s="4">
        <f t="shared" si="13"/>
        <v>2471.79</v>
      </c>
      <c r="H128" s="4">
        <f t="shared" si="14"/>
        <v>50.460000000000036</v>
      </c>
    </row>
    <row r="129" spans="2:8" x14ac:dyDescent="0.25">
      <c r="B129" s="15" t="s">
        <v>95</v>
      </c>
      <c r="C129" s="4">
        <v>29747.919999999998</v>
      </c>
      <c r="D129" s="4">
        <v>5</v>
      </c>
      <c r="E129" s="4">
        <f>ROUND(C129*D129/100,2)</f>
        <v>1487.4</v>
      </c>
      <c r="F129" s="4">
        <f>24690.8+E129*2</f>
        <v>27665.599999999999</v>
      </c>
      <c r="G129" s="4">
        <f t="shared" si="13"/>
        <v>29153</v>
      </c>
      <c r="H129" s="4">
        <f t="shared" si="14"/>
        <v>594.91999999999825</v>
      </c>
    </row>
    <row r="130" spans="2:8" x14ac:dyDescent="0.25">
      <c r="B130" s="15" t="s">
        <v>96</v>
      </c>
      <c r="C130" s="4">
        <v>16245.71</v>
      </c>
      <c r="D130" s="4">
        <v>5</v>
      </c>
      <c r="E130" s="4">
        <v>812.28</v>
      </c>
      <c r="F130" s="4">
        <f>13483.9+E130*2</f>
        <v>15108.46</v>
      </c>
      <c r="G130" s="4">
        <f t="shared" si="13"/>
        <v>15920.74</v>
      </c>
      <c r="H130" s="4">
        <f t="shared" si="14"/>
        <v>324.96999999999935</v>
      </c>
    </row>
    <row r="131" spans="2:8" x14ac:dyDescent="0.25">
      <c r="B131" s="15" t="s">
        <v>97</v>
      </c>
      <c r="C131" s="4">
        <v>47316.94</v>
      </c>
      <c r="D131" s="4">
        <v>5</v>
      </c>
      <c r="E131" s="4">
        <f t="shared" ref="E131:E141" si="15">ROUND(C131*D131/100,2)</f>
        <v>2365.85</v>
      </c>
      <c r="F131" s="4">
        <f>39273.06+E131*2</f>
        <v>44004.759999999995</v>
      </c>
      <c r="G131" s="4">
        <f t="shared" si="13"/>
        <v>46370.609999999993</v>
      </c>
      <c r="H131" s="4">
        <f t="shared" si="14"/>
        <v>946.33000000000902</v>
      </c>
    </row>
    <row r="132" spans="2:8" x14ac:dyDescent="0.25">
      <c r="B132" s="15" t="s">
        <v>98</v>
      </c>
      <c r="C132" s="4">
        <v>154.94</v>
      </c>
      <c r="D132" s="4">
        <v>5</v>
      </c>
      <c r="E132" s="4">
        <f t="shared" si="15"/>
        <v>7.75</v>
      </c>
      <c r="F132" s="4">
        <f>128.6+E132*2</f>
        <v>144.1</v>
      </c>
      <c r="G132" s="4">
        <f t="shared" si="13"/>
        <v>151.85</v>
      </c>
      <c r="H132" s="4">
        <f t="shared" si="14"/>
        <v>3.0900000000000034</v>
      </c>
    </row>
    <row r="133" spans="2:8" x14ac:dyDescent="0.25">
      <c r="B133" s="15" t="s">
        <v>99</v>
      </c>
      <c r="C133" s="4">
        <v>1522.72</v>
      </c>
      <c r="D133" s="4">
        <v>5</v>
      </c>
      <c r="E133" s="4">
        <f t="shared" si="15"/>
        <v>76.14</v>
      </c>
      <c r="F133" s="4">
        <f>1263.88+E133*2</f>
        <v>1416.16</v>
      </c>
      <c r="G133" s="4">
        <f t="shared" si="13"/>
        <v>1492.3000000000002</v>
      </c>
      <c r="H133" s="4">
        <f t="shared" si="14"/>
        <v>30.419999999999845</v>
      </c>
    </row>
    <row r="134" spans="2:8" x14ac:dyDescent="0.25">
      <c r="B134" s="15" t="s">
        <v>100</v>
      </c>
      <c r="C134" s="4">
        <v>483403.66</v>
      </c>
      <c r="D134" s="4">
        <v>5</v>
      </c>
      <c r="E134" s="4">
        <f t="shared" si="15"/>
        <v>24170.18</v>
      </c>
      <c r="F134" s="4">
        <f>362552.73+E134*2</f>
        <v>410893.08999999997</v>
      </c>
      <c r="G134" s="4">
        <f t="shared" si="13"/>
        <v>435063.26999999996</v>
      </c>
      <c r="H134" s="4">
        <f t="shared" si="14"/>
        <v>48340.390000000014</v>
      </c>
    </row>
    <row r="135" spans="2:8" x14ac:dyDescent="0.25">
      <c r="B135" s="15" t="s">
        <v>101</v>
      </c>
      <c r="C135" s="4">
        <v>40283.64</v>
      </c>
      <c r="D135" s="4">
        <v>5</v>
      </c>
      <c r="E135" s="4">
        <f t="shared" si="15"/>
        <v>2014.18</v>
      </c>
      <c r="F135" s="4">
        <f>30212.71+E135*2</f>
        <v>34241.07</v>
      </c>
      <c r="G135" s="4">
        <f t="shared" si="13"/>
        <v>36255.25</v>
      </c>
      <c r="H135" s="4">
        <f t="shared" si="14"/>
        <v>4028.3899999999994</v>
      </c>
    </row>
    <row r="136" spans="2:8" x14ac:dyDescent="0.25">
      <c r="B136" s="15" t="s">
        <v>102</v>
      </c>
      <c r="C136" s="4">
        <v>2642.29</v>
      </c>
      <c r="D136" s="4">
        <v>5</v>
      </c>
      <c r="E136" s="4">
        <f t="shared" si="15"/>
        <v>132.11000000000001</v>
      </c>
      <c r="F136" s="4">
        <f>1981.7+E136*2</f>
        <v>2245.92</v>
      </c>
      <c r="G136" s="4">
        <f t="shared" si="13"/>
        <v>2378.0300000000002</v>
      </c>
      <c r="H136" s="4">
        <f t="shared" si="14"/>
        <v>264.25999999999976</v>
      </c>
    </row>
    <row r="137" spans="2:8" x14ac:dyDescent="0.25">
      <c r="B137" s="15" t="s">
        <v>103</v>
      </c>
      <c r="C137" s="4">
        <v>2442.85</v>
      </c>
      <c r="D137" s="4">
        <v>5</v>
      </c>
      <c r="E137" s="4">
        <f t="shared" si="15"/>
        <v>122.14</v>
      </c>
      <c r="F137" s="4">
        <f>1832.13+E137*2</f>
        <v>2076.4100000000003</v>
      </c>
      <c r="G137" s="4">
        <f t="shared" si="13"/>
        <v>2198.5500000000002</v>
      </c>
      <c r="H137" s="4">
        <f t="shared" si="14"/>
        <v>244.29999999999973</v>
      </c>
    </row>
    <row r="138" spans="2:8" x14ac:dyDescent="0.25">
      <c r="B138" s="15" t="s">
        <v>104</v>
      </c>
      <c r="C138" s="4">
        <v>13576.21</v>
      </c>
      <c r="D138" s="4">
        <v>5</v>
      </c>
      <c r="E138" s="4">
        <f t="shared" si="15"/>
        <v>678.81</v>
      </c>
      <c r="F138" s="4">
        <f>10182.15+E138*2</f>
        <v>11539.77</v>
      </c>
      <c r="G138" s="4">
        <f t="shared" si="13"/>
        <v>12218.58</v>
      </c>
      <c r="H138" s="4">
        <f t="shared" si="14"/>
        <v>1357.6299999999992</v>
      </c>
    </row>
    <row r="139" spans="2:8" x14ac:dyDescent="0.25">
      <c r="B139" s="15" t="s">
        <v>105</v>
      </c>
      <c r="C139" s="4">
        <v>64453.82</v>
      </c>
      <c r="D139" s="4">
        <v>5</v>
      </c>
      <c r="E139" s="4">
        <f t="shared" si="15"/>
        <v>3222.69</v>
      </c>
      <c r="F139" s="4">
        <f>48340.36+E139*2</f>
        <v>54785.74</v>
      </c>
      <c r="G139" s="4">
        <f t="shared" si="13"/>
        <v>58008.43</v>
      </c>
      <c r="H139" s="4">
        <f t="shared" si="14"/>
        <v>6445.3899999999994</v>
      </c>
    </row>
    <row r="140" spans="2:8" x14ac:dyDescent="0.25">
      <c r="B140" s="15" t="s">
        <v>106</v>
      </c>
      <c r="C140" s="4">
        <v>1469.74</v>
      </c>
      <c r="D140" s="4">
        <v>5</v>
      </c>
      <c r="E140" s="4">
        <f t="shared" si="15"/>
        <v>73.489999999999995</v>
      </c>
      <c r="F140" s="4">
        <f>1102.31+E140*2</f>
        <v>1249.29</v>
      </c>
      <c r="G140" s="4">
        <f t="shared" si="13"/>
        <v>1322.78</v>
      </c>
      <c r="H140" s="4">
        <f t="shared" si="14"/>
        <v>146.96000000000004</v>
      </c>
    </row>
    <row r="141" spans="2:8" x14ac:dyDescent="0.25">
      <c r="B141" s="15" t="s">
        <v>107</v>
      </c>
      <c r="C141" s="4">
        <v>743.7</v>
      </c>
      <c r="D141" s="4">
        <v>5</v>
      </c>
      <c r="E141" s="4">
        <f t="shared" si="15"/>
        <v>37.19</v>
      </c>
      <c r="F141" s="4">
        <f>557.83+E141*2</f>
        <v>632.21</v>
      </c>
      <c r="G141" s="4">
        <f t="shared" si="13"/>
        <v>669.40000000000009</v>
      </c>
      <c r="H141" s="4">
        <f t="shared" si="14"/>
        <v>74.299999999999955</v>
      </c>
    </row>
    <row r="142" spans="2:8" x14ac:dyDescent="0.25">
      <c r="B142" s="15" t="s">
        <v>108</v>
      </c>
      <c r="C142" s="4">
        <v>1239.5</v>
      </c>
      <c r="D142" s="4">
        <v>5</v>
      </c>
      <c r="E142" s="4">
        <v>61.97</v>
      </c>
      <c r="F142" s="4">
        <f>929.64+E142*2</f>
        <v>1053.58</v>
      </c>
      <c r="G142" s="4">
        <f t="shared" si="13"/>
        <v>1115.55</v>
      </c>
      <c r="H142" s="4">
        <f t="shared" si="14"/>
        <v>123.95000000000005</v>
      </c>
    </row>
    <row r="143" spans="2:8" x14ac:dyDescent="0.25">
      <c r="B143" s="15" t="s">
        <v>179</v>
      </c>
      <c r="C143" s="4">
        <v>37184.9</v>
      </c>
      <c r="D143" s="4">
        <v>5</v>
      </c>
      <c r="E143" s="4">
        <v>1859.24</v>
      </c>
      <c r="F143" s="4">
        <f>24475.06+E143*2</f>
        <v>28193.54</v>
      </c>
      <c r="G143" s="4">
        <f t="shared" si="13"/>
        <v>30052.780000000002</v>
      </c>
      <c r="H143" s="4">
        <f t="shared" si="14"/>
        <v>7132.119999999999</v>
      </c>
    </row>
    <row r="144" spans="2:8" x14ac:dyDescent="0.25">
      <c r="B144" s="15" t="s">
        <v>109</v>
      </c>
      <c r="C144" s="4">
        <v>11936.35</v>
      </c>
      <c r="D144" s="4">
        <v>5</v>
      </c>
      <c r="E144" s="4">
        <f t="shared" ref="E144:E157" si="16">ROUND(C144*D144/100,2)</f>
        <v>596.82000000000005</v>
      </c>
      <c r="F144" s="4">
        <f>7856.53+E144*2</f>
        <v>9050.17</v>
      </c>
      <c r="G144" s="4">
        <f t="shared" si="13"/>
        <v>9646.99</v>
      </c>
      <c r="H144" s="4">
        <f t="shared" si="14"/>
        <v>2289.3600000000006</v>
      </c>
    </row>
    <row r="145" spans="2:8" x14ac:dyDescent="0.25">
      <c r="B145" s="15" t="s">
        <v>110</v>
      </c>
      <c r="C145" s="4">
        <v>6352.42</v>
      </c>
      <c r="D145" s="4">
        <v>5</v>
      </c>
      <c r="E145" s="4">
        <f t="shared" si="16"/>
        <v>317.62</v>
      </c>
      <c r="F145" s="4">
        <f>4181.15+E145*2</f>
        <v>4816.3899999999994</v>
      </c>
      <c r="G145" s="4">
        <f t="shared" si="13"/>
        <v>5134.0099999999993</v>
      </c>
      <c r="H145" s="4">
        <f t="shared" si="14"/>
        <v>1218.4100000000008</v>
      </c>
    </row>
    <row r="146" spans="2:8" x14ac:dyDescent="0.25">
      <c r="B146" s="15" t="s">
        <v>111</v>
      </c>
      <c r="C146" s="4">
        <v>-37371.14</v>
      </c>
      <c r="D146" s="4">
        <v>5</v>
      </c>
      <c r="E146" s="4">
        <f t="shared" si="16"/>
        <v>-1868.56</v>
      </c>
      <c r="F146" s="4">
        <f>-24597.7+E146*2</f>
        <v>-28334.82</v>
      </c>
      <c r="G146" s="4">
        <f t="shared" si="13"/>
        <v>-30203.38</v>
      </c>
      <c r="H146" s="4">
        <f t="shared" si="14"/>
        <v>-7167.7599999999984</v>
      </c>
    </row>
    <row r="147" spans="2:8" x14ac:dyDescent="0.25">
      <c r="B147" s="15" t="s">
        <v>112</v>
      </c>
      <c r="C147" s="4">
        <v>30987.41</v>
      </c>
      <c r="D147" s="4">
        <v>5</v>
      </c>
      <c r="E147" s="4">
        <f t="shared" si="16"/>
        <v>1549.37</v>
      </c>
      <c r="F147" s="4">
        <f>20395.92+E147*2</f>
        <v>23494.659999999996</v>
      </c>
      <c r="G147" s="4">
        <f t="shared" si="13"/>
        <v>25044.029999999995</v>
      </c>
      <c r="H147" s="4">
        <f t="shared" si="14"/>
        <v>5943.3800000000047</v>
      </c>
    </row>
    <row r="148" spans="2:8" x14ac:dyDescent="0.25">
      <c r="B148" s="15" t="s">
        <v>113</v>
      </c>
      <c r="C148" s="4">
        <v>2241.5100000000002</v>
      </c>
      <c r="D148" s="4">
        <v>5</v>
      </c>
      <c r="E148" s="4">
        <f t="shared" si="16"/>
        <v>112.08</v>
      </c>
      <c r="F148" s="4">
        <f>1344.93+E148*2</f>
        <v>1569.0900000000001</v>
      </c>
      <c r="G148" s="4">
        <f t="shared" si="13"/>
        <v>1681.17</v>
      </c>
      <c r="H148" s="4">
        <f t="shared" si="14"/>
        <v>560.34000000000015</v>
      </c>
    </row>
    <row r="149" spans="2:8" x14ac:dyDescent="0.25">
      <c r="B149" s="15" t="s">
        <v>114</v>
      </c>
      <c r="C149" s="4">
        <v>588760.86</v>
      </c>
      <c r="D149" s="4">
        <v>5</v>
      </c>
      <c r="E149" s="4">
        <f t="shared" si="16"/>
        <v>29438.04</v>
      </c>
      <c r="F149" s="4">
        <f>353256.5+E149*2</f>
        <v>412132.58</v>
      </c>
      <c r="G149" s="4">
        <f t="shared" si="13"/>
        <v>441570.62</v>
      </c>
      <c r="H149" s="4">
        <f t="shared" si="14"/>
        <v>147190.24</v>
      </c>
    </row>
    <row r="150" spans="2:8" x14ac:dyDescent="0.25">
      <c r="B150" s="15" t="s">
        <v>115</v>
      </c>
      <c r="C150" s="4">
        <v>278.89</v>
      </c>
      <c r="D150" s="4">
        <v>5</v>
      </c>
      <c r="E150" s="4">
        <f t="shared" si="16"/>
        <v>13.94</v>
      </c>
      <c r="F150" s="4">
        <f>167.3+E150*2</f>
        <v>195.18</v>
      </c>
      <c r="G150" s="4">
        <f t="shared" si="13"/>
        <v>209.12</v>
      </c>
      <c r="H150" s="4">
        <f t="shared" si="14"/>
        <v>69.769999999999982</v>
      </c>
    </row>
    <row r="151" spans="2:8" x14ac:dyDescent="0.25">
      <c r="B151" s="15" t="s">
        <v>116</v>
      </c>
      <c r="C151" s="4">
        <v>514.39</v>
      </c>
      <c r="D151" s="4">
        <v>5</v>
      </c>
      <c r="E151" s="4">
        <f t="shared" si="16"/>
        <v>25.72</v>
      </c>
      <c r="F151" s="4">
        <f>308.64+E151*2</f>
        <v>360.08</v>
      </c>
      <c r="G151" s="4">
        <f t="shared" si="13"/>
        <v>385.79999999999995</v>
      </c>
      <c r="H151" s="4">
        <f t="shared" si="14"/>
        <v>128.59000000000003</v>
      </c>
    </row>
    <row r="152" spans="2:8" x14ac:dyDescent="0.25">
      <c r="B152" s="15" t="s">
        <v>117</v>
      </c>
      <c r="C152" s="4">
        <v>16151.95</v>
      </c>
      <c r="D152" s="4">
        <v>5</v>
      </c>
      <c r="E152" s="4">
        <f t="shared" si="16"/>
        <v>807.6</v>
      </c>
      <c r="F152" s="4">
        <f>9691.2+E152*2</f>
        <v>11306.400000000001</v>
      </c>
      <c r="G152" s="4">
        <f t="shared" si="13"/>
        <v>12114.000000000002</v>
      </c>
      <c r="H152" s="4">
        <f t="shared" si="14"/>
        <v>4037.9499999999989</v>
      </c>
    </row>
    <row r="153" spans="2:8" x14ac:dyDescent="0.25">
      <c r="B153" s="15" t="s">
        <v>118</v>
      </c>
      <c r="C153" s="4">
        <v>2602.94</v>
      </c>
      <c r="D153" s="4">
        <v>5</v>
      </c>
      <c r="E153" s="4">
        <f t="shared" si="16"/>
        <v>130.15</v>
      </c>
      <c r="F153" s="4">
        <f>1561.77+E153*2</f>
        <v>1822.07</v>
      </c>
      <c r="G153" s="4">
        <f t="shared" si="13"/>
        <v>1952.22</v>
      </c>
      <c r="H153" s="4">
        <f t="shared" si="14"/>
        <v>650.72</v>
      </c>
    </row>
    <row r="154" spans="2:8" x14ac:dyDescent="0.25">
      <c r="B154" s="15" t="s">
        <v>119</v>
      </c>
      <c r="C154" s="4">
        <v>25657.58</v>
      </c>
      <c r="D154" s="4">
        <v>5</v>
      </c>
      <c r="E154" s="4">
        <f t="shared" si="16"/>
        <v>1282.8800000000001</v>
      </c>
      <c r="F154" s="4">
        <f>15394.56+E154*2</f>
        <v>17960.32</v>
      </c>
      <c r="G154" s="4">
        <f t="shared" si="13"/>
        <v>19243.2</v>
      </c>
      <c r="H154" s="4">
        <f t="shared" si="14"/>
        <v>6414.380000000001</v>
      </c>
    </row>
    <row r="155" spans="2:8" x14ac:dyDescent="0.25">
      <c r="B155" s="15" t="s">
        <v>120</v>
      </c>
      <c r="C155" s="4">
        <v>18592.45</v>
      </c>
      <c r="D155" s="4">
        <v>5</v>
      </c>
      <c r="E155" s="4">
        <f t="shared" si="16"/>
        <v>929.62</v>
      </c>
      <c r="F155" s="4">
        <f>11155.46+E155*2</f>
        <v>13014.699999999999</v>
      </c>
      <c r="G155" s="4">
        <f t="shared" si="13"/>
        <v>13944.32</v>
      </c>
      <c r="H155" s="4">
        <f t="shared" si="14"/>
        <v>4648.130000000001</v>
      </c>
    </row>
    <row r="156" spans="2:8" x14ac:dyDescent="0.25">
      <c r="B156" s="15" t="s">
        <v>121</v>
      </c>
      <c r="C156" s="4">
        <v>2092.39</v>
      </c>
      <c r="D156" s="4">
        <v>5</v>
      </c>
      <c r="E156" s="4">
        <f t="shared" si="16"/>
        <v>104.62</v>
      </c>
      <c r="F156" s="4">
        <f>1255.44+E156*2</f>
        <v>1464.68</v>
      </c>
      <c r="G156" s="4">
        <f t="shared" si="13"/>
        <v>1569.3000000000002</v>
      </c>
      <c r="H156" s="4">
        <f t="shared" si="14"/>
        <v>523.08999999999969</v>
      </c>
    </row>
    <row r="157" spans="2:8" x14ac:dyDescent="0.25">
      <c r="B157" s="15" t="s">
        <v>122</v>
      </c>
      <c r="C157" s="4">
        <v>1239.5</v>
      </c>
      <c r="D157" s="4">
        <v>5</v>
      </c>
      <c r="E157" s="4">
        <f t="shared" si="16"/>
        <v>61.98</v>
      </c>
      <c r="F157" s="4">
        <f>743.73+E157*2</f>
        <v>867.69</v>
      </c>
      <c r="G157" s="4">
        <f t="shared" si="13"/>
        <v>929.67000000000007</v>
      </c>
      <c r="H157" s="4">
        <f t="shared" si="14"/>
        <v>309.82999999999993</v>
      </c>
    </row>
    <row r="158" spans="2:8" x14ac:dyDescent="0.25">
      <c r="B158" s="15" t="s">
        <v>123</v>
      </c>
      <c r="C158" s="4">
        <v>3442.7</v>
      </c>
      <c r="D158" s="4">
        <v>5</v>
      </c>
      <c r="E158" s="4">
        <v>172.13</v>
      </c>
      <c r="F158" s="4">
        <f>2065.6+E158*2</f>
        <v>2409.8599999999997</v>
      </c>
      <c r="G158" s="4">
        <f>E158+F158</f>
        <v>2581.9899999999998</v>
      </c>
      <c r="H158" s="4">
        <f>C158-G158</f>
        <v>860.71</v>
      </c>
    </row>
    <row r="159" spans="2:8" x14ac:dyDescent="0.25">
      <c r="B159" s="5" t="s">
        <v>124</v>
      </c>
      <c r="C159" s="10">
        <v>2169.52</v>
      </c>
      <c r="D159" s="10">
        <v>5</v>
      </c>
      <c r="E159" s="10">
        <f>ROUND(C159*D159/100,2)</f>
        <v>108.48</v>
      </c>
      <c r="F159" s="10">
        <f>1301.74+E159*2</f>
        <v>1518.7</v>
      </c>
      <c r="G159" s="10">
        <f>E159+F159</f>
        <v>1627.18</v>
      </c>
      <c r="H159" s="10">
        <f>C159-G159</f>
        <v>542.33999999999992</v>
      </c>
    </row>
    <row r="161" spans="2:8" x14ac:dyDescent="0.25">
      <c r="B161" s="5" t="s">
        <v>68</v>
      </c>
      <c r="C161" s="4">
        <f>SUM(C117:C160)</f>
        <v>2572694.1200000006</v>
      </c>
      <c r="D161" s="4"/>
      <c r="E161" s="4">
        <f>SUM(E117:E160)</f>
        <v>77807.05</v>
      </c>
      <c r="F161" s="4">
        <f>SUM(F117:F159)</f>
        <v>2254511.6399999997</v>
      </c>
      <c r="G161" s="4">
        <f>SUM(G117:G159)</f>
        <v>2332318.6900000004</v>
      </c>
      <c r="H161" s="4">
        <f>SUM(H117:H159)</f>
        <v>240375.43000000002</v>
      </c>
    </row>
    <row r="162" spans="2:8" x14ac:dyDescent="0.25">
      <c r="C162" s="4"/>
      <c r="D162" s="4"/>
      <c r="E162" s="4"/>
      <c r="F162" s="4"/>
      <c r="G162" s="4"/>
      <c r="H162" s="4"/>
    </row>
    <row r="163" spans="2:8" x14ac:dyDescent="0.25">
      <c r="C163" s="4"/>
      <c r="D163" s="4"/>
      <c r="E163" s="4"/>
      <c r="F163" s="4"/>
      <c r="G163" s="4"/>
      <c r="H163" s="4"/>
    </row>
    <row r="164" spans="2:8" x14ac:dyDescent="0.25">
      <c r="C164" s="4"/>
      <c r="D164" s="4"/>
      <c r="E164" s="4"/>
      <c r="F164" s="4"/>
      <c r="G164" s="4"/>
      <c r="H164" s="4"/>
    </row>
    <row r="165" spans="2:8" x14ac:dyDescent="0.25">
      <c r="C165" s="4"/>
      <c r="D165" s="4"/>
      <c r="E165" s="4"/>
      <c r="F165" s="4"/>
      <c r="G165" s="4"/>
      <c r="H165" s="4"/>
    </row>
    <row r="166" spans="2:8" x14ac:dyDescent="0.25">
      <c r="C166" s="4"/>
      <c r="D166" s="4"/>
      <c r="E166" s="4"/>
      <c r="F166" s="4"/>
      <c r="G166" s="4"/>
      <c r="H166" s="4"/>
    </row>
    <row r="167" spans="2:8" x14ac:dyDescent="0.25">
      <c r="C167" s="4"/>
      <c r="D167" s="4"/>
      <c r="E167" s="4"/>
      <c r="F167" s="4"/>
      <c r="G167" s="4"/>
      <c r="H167" s="4"/>
    </row>
    <row r="168" spans="2:8" x14ac:dyDescent="0.25">
      <c r="C168" s="4"/>
      <c r="D168" s="4"/>
      <c r="E168" s="4"/>
      <c r="F168" s="4"/>
      <c r="G168" s="4"/>
      <c r="H168" s="4"/>
    </row>
    <row r="169" spans="2:8" x14ac:dyDescent="0.25">
      <c r="B169" s="5" t="s">
        <v>217</v>
      </c>
      <c r="C169" s="4" t="s">
        <v>216</v>
      </c>
      <c r="E169" s="4"/>
      <c r="F169" s="4"/>
      <c r="G169" s="4"/>
      <c r="H169" s="4"/>
    </row>
    <row r="170" spans="2:8" x14ac:dyDescent="0.25">
      <c r="B170" s="5" t="s">
        <v>561</v>
      </c>
      <c r="H170" s="4"/>
    </row>
    <row r="171" spans="2:8" x14ac:dyDescent="0.25">
      <c r="B171" s="5" t="s">
        <v>28</v>
      </c>
      <c r="C171" s="5" t="s">
        <v>4</v>
      </c>
      <c r="D171" s="5" t="s">
        <v>0</v>
      </c>
      <c r="E171" s="5" t="s">
        <v>1</v>
      </c>
      <c r="F171" s="5" t="s">
        <v>2</v>
      </c>
      <c r="G171" s="5" t="s">
        <v>3</v>
      </c>
      <c r="H171" s="5" t="s">
        <v>5</v>
      </c>
    </row>
    <row r="172" spans="2:8" x14ac:dyDescent="0.25">
      <c r="B172" s="5" t="s">
        <v>69</v>
      </c>
      <c r="C172" s="4">
        <f>C161</f>
        <v>2572694.1200000006</v>
      </c>
      <c r="D172" s="4"/>
      <c r="E172" s="4">
        <f>E161</f>
        <v>77807.05</v>
      </c>
      <c r="F172" s="4">
        <f>F161</f>
        <v>2254511.6399999997</v>
      </c>
      <c r="G172" s="4">
        <f>G161</f>
        <v>2332318.6900000004</v>
      </c>
      <c r="H172" s="4">
        <f>H161</f>
        <v>240375.43000000002</v>
      </c>
    </row>
    <row r="173" spans="2:8" x14ac:dyDescent="0.25">
      <c r="B173" s="5" t="s">
        <v>178</v>
      </c>
      <c r="C173" s="4">
        <v>2077.71</v>
      </c>
      <c r="D173" s="4">
        <v>5</v>
      </c>
      <c r="E173" s="4">
        <f t="shared" ref="E173:E178" si="17">ROUND(C173*D173/100,2)</f>
        <v>103.89</v>
      </c>
      <c r="F173" s="4">
        <f>1142.76+E173*2</f>
        <v>1350.54</v>
      </c>
      <c r="G173" s="4">
        <f t="shared" ref="G173:G178" si="18">E173+F173</f>
        <v>1454.43</v>
      </c>
      <c r="H173" s="4">
        <f t="shared" ref="H173:H178" si="19">C173-G173</f>
        <v>623.28</v>
      </c>
    </row>
    <row r="174" spans="2:8" x14ac:dyDescent="0.25">
      <c r="B174" s="5" t="s">
        <v>6</v>
      </c>
      <c r="C174" s="4">
        <v>55777.35</v>
      </c>
      <c r="D174" s="4">
        <v>5</v>
      </c>
      <c r="E174" s="4">
        <f t="shared" si="17"/>
        <v>2788.87</v>
      </c>
      <c r="F174" s="4">
        <f>30677.56+E174*2</f>
        <v>36255.300000000003</v>
      </c>
      <c r="G174" s="4">
        <f t="shared" si="18"/>
        <v>39044.170000000006</v>
      </c>
      <c r="H174" s="4">
        <f t="shared" si="19"/>
        <v>16733.179999999993</v>
      </c>
    </row>
    <row r="175" spans="2:8" x14ac:dyDescent="0.25">
      <c r="B175" s="5" t="s">
        <v>59</v>
      </c>
      <c r="C175" s="4">
        <v>706.51</v>
      </c>
      <c r="D175" s="4">
        <v>5</v>
      </c>
      <c r="E175" s="4">
        <f t="shared" si="17"/>
        <v>35.33</v>
      </c>
      <c r="F175" s="4">
        <f>388.6+E175*2</f>
        <v>459.26</v>
      </c>
      <c r="G175" s="4">
        <f t="shared" si="18"/>
        <v>494.59</v>
      </c>
      <c r="H175" s="4">
        <f t="shared" si="19"/>
        <v>211.92000000000002</v>
      </c>
    </row>
    <row r="176" spans="2:8" x14ac:dyDescent="0.25">
      <c r="B176" s="5" t="s">
        <v>35</v>
      </c>
      <c r="C176" s="4">
        <v>619.75</v>
      </c>
      <c r="D176" s="4">
        <v>5</v>
      </c>
      <c r="E176" s="4">
        <f t="shared" si="17"/>
        <v>30.99</v>
      </c>
      <c r="F176" s="4">
        <f>340.88+$E176*2</f>
        <v>402.86</v>
      </c>
      <c r="G176" s="4">
        <f t="shared" si="18"/>
        <v>433.85</v>
      </c>
      <c r="H176" s="4">
        <f t="shared" si="19"/>
        <v>185.89999999999998</v>
      </c>
    </row>
    <row r="177" spans="2:8" x14ac:dyDescent="0.25">
      <c r="B177" s="5" t="s">
        <v>34</v>
      </c>
      <c r="C177" s="4">
        <v>13200</v>
      </c>
      <c r="D177" s="4">
        <v>5</v>
      </c>
      <c r="E177" s="4">
        <f t="shared" si="17"/>
        <v>660</v>
      </c>
      <c r="F177" s="4">
        <f>7260+E177*2</f>
        <v>8580</v>
      </c>
      <c r="G177" s="4">
        <f t="shared" si="18"/>
        <v>9240</v>
      </c>
      <c r="H177" s="4">
        <f t="shared" si="19"/>
        <v>3960</v>
      </c>
    </row>
    <row r="178" spans="2:8" x14ac:dyDescent="0.25">
      <c r="B178" s="27" t="s">
        <v>33</v>
      </c>
      <c r="C178" s="4">
        <v>9712.93</v>
      </c>
      <c r="D178" s="4">
        <v>5</v>
      </c>
      <c r="E178" s="4">
        <f t="shared" si="17"/>
        <v>485.65</v>
      </c>
      <c r="F178" s="4">
        <f>5342.12+E178*2</f>
        <v>6313.42</v>
      </c>
      <c r="G178" s="4">
        <f t="shared" si="18"/>
        <v>6799.07</v>
      </c>
      <c r="H178" s="4">
        <f t="shared" si="19"/>
        <v>2913.8600000000006</v>
      </c>
    </row>
    <row r="179" spans="2:8" x14ac:dyDescent="0.25">
      <c r="B179" s="5" t="s">
        <v>32</v>
      </c>
      <c r="C179" s="4">
        <v>2140.8000000000002</v>
      </c>
      <c r="D179" s="4">
        <v>5</v>
      </c>
      <c r="E179" s="4">
        <f t="shared" ref="E179:E187" si="20">ROUND(C179*D179/100,2)</f>
        <v>107.04</v>
      </c>
      <c r="F179" s="4">
        <f>1016.88+E179*2</f>
        <v>1230.96</v>
      </c>
      <c r="G179" s="4">
        <f t="shared" ref="G179:G218" si="21">E179+F179</f>
        <v>1338</v>
      </c>
      <c r="H179" s="4">
        <f t="shared" ref="H179:H218" si="22">C179-G179</f>
        <v>802.80000000000018</v>
      </c>
    </row>
    <row r="180" spans="2:8" x14ac:dyDescent="0.25">
      <c r="B180" s="5" t="s">
        <v>31</v>
      </c>
      <c r="C180" s="4">
        <v>118.44</v>
      </c>
      <c r="D180" s="4">
        <v>5</v>
      </c>
      <c r="E180" s="4">
        <f t="shared" si="20"/>
        <v>5.92</v>
      </c>
      <c r="F180" s="4">
        <f>56.24+E180*2</f>
        <v>68.08</v>
      </c>
      <c r="G180" s="4">
        <f t="shared" si="21"/>
        <v>74</v>
      </c>
      <c r="H180" s="4">
        <f t="shared" si="22"/>
        <v>44.44</v>
      </c>
    </row>
    <row r="181" spans="2:8" x14ac:dyDescent="0.25">
      <c r="B181" s="5" t="s">
        <v>30</v>
      </c>
      <c r="C181" s="4">
        <v>312</v>
      </c>
      <c r="D181" s="4">
        <v>5</v>
      </c>
      <c r="E181" s="4">
        <f t="shared" si="20"/>
        <v>15.6</v>
      </c>
      <c r="F181" s="4">
        <f>148.2+E181*2</f>
        <v>179.39999999999998</v>
      </c>
      <c r="G181" s="4">
        <f t="shared" si="21"/>
        <v>194.99999999999997</v>
      </c>
      <c r="H181" s="4">
        <f t="shared" si="22"/>
        <v>117.00000000000003</v>
      </c>
    </row>
    <row r="182" spans="2:8" x14ac:dyDescent="0.25">
      <c r="B182" s="5" t="s">
        <v>55</v>
      </c>
      <c r="C182" s="4">
        <v>6210</v>
      </c>
      <c r="D182" s="4">
        <v>5</v>
      </c>
      <c r="E182" s="4">
        <f t="shared" si="20"/>
        <v>310.5</v>
      </c>
      <c r="F182" s="4">
        <f>2328.75+E182*2</f>
        <v>2949.75</v>
      </c>
      <c r="G182" s="4">
        <f t="shared" si="21"/>
        <v>3260.25</v>
      </c>
      <c r="H182" s="4">
        <f t="shared" si="22"/>
        <v>2949.75</v>
      </c>
    </row>
    <row r="183" spans="2:8" x14ac:dyDescent="0.25">
      <c r="B183" s="5" t="s">
        <v>56</v>
      </c>
      <c r="C183" s="4">
        <v>2880</v>
      </c>
      <c r="D183" s="4">
        <v>5</v>
      </c>
      <c r="E183" s="4">
        <f t="shared" si="20"/>
        <v>144</v>
      </c>
      <c r="F183" s="4">
        <f>1080+E183*2</f>
        <v>1368</v>
      </c>
      <c r="G183" s="4">
        <f t="shared" si="21"/>
        <v>1512</v>
      </c>
      <c r="H183" s="4">
        <f t="shared" si="22"/>
        <v>1368</v>
      </c>
    </row>
    <row r="184" spans="2:8" x14ac:dyDescent="0.25">
      <c r="B184" s="5" t="s">
        <v>57</v>
      </c>
      <c r="C184" s="4">
        <v>1129.56</v>
      </c>
      <c r="D184" s="4">
        <v>5</v>
      </c>
      <c r="E184" s="4">
        <f t="shared" si="20"/>
        <v>56.48</v>
      </c>
      <c r="F184" s="4">
        <f>423.6+E184*2</f>
        <v>536.56000000000006</v>
      </c>
      <c r="G184" s="4">
        <f t="shared" si="21"/>
        <v>593.04000000000008</v>
      </c>
      <c r="H184" s="4">
        <f t="shared" si="22"/>
        <v>536.51999999999987</v>
      </c>
    </row>
    <row r="185" spans="2:8" x14ac:dyDescent="0.25">
      <c r="B185" s="5" t="s">
        <v>58</v>
      </c>
      <c r="C185" s="4">
        <v>114</v>
      </c>
      <c r="D185" s="4">
        <v>5</v>
      </c>
      <c r="E185" s="4">
        <f t="shared" si="20"/>
        <v>5.7</v>
      </c>
      <c r="F185" s="4">
        <f>42.75+E185*2</f>
        <v>54.15</v>
      </c>
      <c r="G185" s="4">
        <f t="shared" si="21"/>
        <v>59.85</v>
      </c>
      <c r="H185" s="4">
        <f t="shared" si="22"/>
        <v>54.15</v>
      </c>
    </row>
    <row r="186" spans="2:8" x14ac:dyDescent="0.25">
      <c r="B186" s="5" t="s">
        <v>29</v>
      </c>
      <c r="C186" s="4">
        <v>1560</v>
      </c>
      <c r="D186" s="4">
        <v>5</v>
      </c>
      <c r="E186" s="4">
        <f t="shared" si="20"/>
        <v>78</v>
      </c>
      <c r="F186" s="4">
        <f>585+E186*2</f>
        <v>741</v>
      </c>
      <c r="G186" s="4">
        <f t="shared" si="21"/>
        <v>819</v>
      </c>
      <c r="H186" s="4">
        <f t="shared" si="22"/>
        <v>741</v>
      </c>
    </row>
    <row r="187" spans="2:8" x14ac:dyDescent="0.25">
      <c r="B187" s="5" t="s">
        <v>36</v>
      </c>
      <c r="C187" s="4">
        <v>3916.04</v>
      </c>
      <c r="D187" s="4">
        <v>5</v>
      </c>
      <c r="E187" s="4">
        <f t="shared" si="20"/>
        <v>195.8</v>
      </c>
      <c r="F187" s="4">
        <f>1468.5+E187*2</f>
        <v>1860.1</v>
      </c>
      <c r="G187" s="4">
        <f t="shared" si="21"/>
        <v>2055.9</v>
      </c>
      <c r="H187" s="4">
        <f t="shared" si="22"/>
        <v>1860.1399999999999</v>
      </c>
    </row>
    <row r="188" spans="2:8" x14ac:dyDescent="0.25">
      <c r="B188" s="5" t="s">
        <v>37</v>
      </c>
      <c r="C188" s="4">
        <v>799.7</v>
      </c>
      <c r="D188" s="4">
        <v>5</v>
      </c>
      <c r="E188" s="4">
        <v>39.979999999999997</v>
      </c>
      <c r="F188" s="4">
        <f>299.86+E188*2</f>
        <v>379.82</v>
      </c>
      <c r="G188" s="4">
        <f t="shared" si="21"/>
        <v>419.8</v>
      </c>
      <c r="H188" s="4">
        <f t="shared" si="22"/>
        <v>379.90000000000003</v>
      </c>
    </row>
    <row r="189" spans="2:8" x14ac:dyDescent="0.25">
      <c r="B189" s="5" t="s">
        <v>38</v>
      </c>
      <c r="C189" s="4">
        <v>840.88</v>
      </c>
      <c r="D189" s="4">
        <v>5</v>
      </c>
      <c r="E189" s="4">
        <f>ROUND(C189*D189/100,2)</f>
        <v>42.04</v>
      </c>
      <c r="F189" s="4">
        <f>315.3+E189*2</f>
        <v>399.38</v>
      </c>
      <c r="G189" s="4">
        <f t="shared" si="21"/>
        <v>441.42</v>
      </c>
      <c r="H189" s="4">
        <f t="shared" si="22"/>
        <v>399.46</v>
      </c>
    </row>
    <row r="190" spans="2:8" x14ac:dyDescent="0.25">
      <c r="B190" s="5" t="s">
        <v>39</v>
      </c>
      <c r="C190" s="4">
        <v>1562.3</v>
      </c>
      <c r="D190" s="4">
        <v>5</v>
      </c>
      <c r="E190" s="4">
        <v>78.11</v>
      </c>
      <c r="F190" s="4">
        <f>585.84+E190*2</f>
        <v>742.06000000000006</v>
      </c>
      <c r="G190" s="4">
        <f t="shared" si="21"/>
        <v>820.17000000000007</v>
      </c>
      <c r="H190" s="4">
        <f t="shared" si="22"/>
        <v>742.12999999999988</v>
      </c>
    </row>
    <row r="191" spans="2:8" x14ac:dyDescent="0.25">
      <c r="B191" s="5" t="s">
        <v>40</v>
      </c>
      <c r="C191" s="4">
        <v>3607.49</v>
      </c>
      <c r="D191" s="4">
        <v>5</v>
      </c>
      <c r="E191" s="4">
        <f t="shared" ref="E191:E218" si="23">ROUND(C191*D191/100,2)</f>
        <v>180.37</v>
      </c>
      <c r="F191" s="4">
        <f>1352.78+E191*2</f>
        <v>1713.52</v>
      </c>
      <c r="G191" s="4">
        <f t="shared" si="21"/>
        <v>1893.8899999999999</v>
      </c>
      <c r="H191" s="4">
        <f t="shared" si="22"/>
        <v>1713.6</v>
      </c>
    </row>
    <row r="192" spans="2:8" x14ac:dyDescent="0.25">
      <c r="B192" s="5" t="s">
        <v>60</v>
      </c>
      <c r="C192" s="4">
        <v>1654.3</v>
      </c>
      <c r="D192" s="4">
        <v>5</v>
      </c>
      <c r="E192" s="4">
        <f t="shared" si="23"/>
        <v>82.72</v>
      </c>
      <c r="F192" s="4">
        <f>537.68+E192*2</f>
        <v>703.11999999999989</v>
      </c>
      <c r="G192" s="4">
        <f t="shared" si="21"/>
        <v>785.83999999999992</v>
      </c>
      <c r="H192" s="4">
        <f t="shared" si="22"/>
        <v>868.46</v>
      </c>
    </row>
    <row r="193" spans="2:8" x14ac:dyDescent="0.25">
      <c r="B193" s="2" t="s">
        <v>61</v>
      </c>
      <c r="C193" s="4">
        <v>16800</v>
      </c>
      <c r="D193" s="4">
        <v>5</v>
      </c>
      <c r="E193" s="4">
        <f t="shared" si="23"/>
        <v>840</v>
      </c>
      <c r="F193" s="4">
        <f>5460+E193*2</f>
        <v>7140</v>
      </c>
      <c r="G193" s="4">
        <f t="shared" si="21"/>
        <v>7980</v>
      </c>
      <c r="H193" s="4">
        <f t="shared" si="22"/>
        <v>8820</v>
      </c>
    </row>
    <row r="194" spans="2:8" x14ac:dyDescent="0.25">
      <c r="B194" s="2" t="s">
        <v>62</v>
      </c>
      <c r="C194" s="4">
        <v>19800</v>
      </c>
      <c r="D194" s="4">
        <v>5</v>
      </c>
      <c r="E194" s="4">
        <f t="shared" si="23"/>
        <v>990</v>
      </c>
      <c r="F194" s="4">
        <f>6435+E194*2</f>
        <v>8415</v>
      </c>
      <c r="G194" s="4">
        <f t="shared" si="21"/>
        <v>9405</v>
      </c>
      <c r="H194" s="4">
        <f t="shared" si="22"/>
        <v>10395</v>
      </c>
    </row>
    <row r="195" spans="2:8" x14ac:dyDescent="0.25">
      <c r="B195" s="2" t="s">
        <v>63</v>
      </c>
      <c r="C195" s="4">
        <v>69000</v>
      </c>
      <c r="D195" s="4">
        <v>5</v>
      </c>
      <c r="E195" s="4">
        <f t="shared" si="23"/>
        <v>3450</v>
      </c>
      <c r="F195" s="4">
        <f>22425+E195*2</f>
        <v>29325</v>
      </c>
      <c r="G195" s="4">
        <f>E195+F195</f>
        <v>32775</v>
      </c>
      <c r="H195" s="4">
        <f t="shared" si="22"/>
        <v>36225</v>
      </c>
    </row>
    <row r="196" spans="2:8" x14ac:dyDescent="0.25">
      <c r="B196" s="2" t="s">
        <v>64</v>
      </c>
      <c r="C196" s="4">
        <v>2175</v>
      </c>
      <c r="D196" s="4">
        <v>5</v>
      </c>
      <c r="E196" s="4">
        <f t="shared" si="23"/>
        <v>108.75</v>
      </c>
      <c r="F196" s="4">
        <f>706.88+E196*2</f>
        <v>924.38</v>
      </c>
      <c r="G196" s="4">
        <f t="shared" si="21"/>
        <v>1033.1300000000001</v>
      </c>
      <c r="H196" s="4">
        <f t="shared" si="22"/>
        <v>1141.8699999999999</v>
      </c>
    </row>
    <row r="197" spans="2:8" x14ac:dyDescent="0.25">
      <c r="B197" s="2" t="s">
        <v>65</v>
      </c>
      <c r="C197" s="4">
        <v>19200</v>
      </c>
      <c r="D197" s="4">
        <v>5</v>
      </c>
      <c r="E197" s="4">
        <f t="shared" si="23"/>
        <v>960</v>
      </c>
      <c r="F197" s="4">
        <f>6240+E197*2</f>
        <v>8160</v>
      </c>
      <c r="G197" s="4">
        <f t="shared" si="21"/>
        <v>9120</v>
      </c>
      <c r="H197" s="4">
        <f t="shared" si="22"/>
        <v>10080</v>
      </c>
    </row>
    <row r="198" spans="2:8" x14ac:dyDescent="0.25">
      <c r="B198" s="2" t="s">
        <v>66</v>
      </c>
      <c r="C198" s="4">
        <v>174000</v>
      </c>
      <c r="D198" s="4">
        <v>5</v>
      </c>
      <c r="E198" s="4">
        <f t="shared" si="23"/>
        <v>8700</v>
      </c>
      <c r="F198" s="4">
        <f>56550+E198*2</f>
        <v>73950</v>
      </c>
      <c r="G198" s="4">
        <f t="shared" si="21"/>
        <v>82650</v>
      </c>
      <c r="H198" s="4">
        <f t="shared" si="22"/>
        <v>91350</v>
      </c>
    </row>
    <row r="199" spans="2:8" x14ac:dyDescent="0.25">
      <c r="B199" s="5" t="s">
        <v>67</v>
      </c>
      <c r="C199" s="4">
        <v>1228.8</v>
      </c>
      <c r="D199" s="4">
        <v>5</v>
      </c>
      <c r="E199" s="4">
        <f t="shared" si="23"/>
        <v>61.44</v>
      </c>
      <c r="F199" s="4">
        <f>399.36+E199*2</f>
        <v>522.24</v>
      </c>
      <c r="G199" s="4">
        <f t="shared" si="21"/>
        <v>583.68000000000006</v>
      </c>
      <c r="H199" s="4">
        <f t="shared" si="22"/>
        <v>645.11999999999989</v>
      </c>
    </row>
    <row r="200" spans="2:8" x14ac:dyDescent="0.25">
      <c r="B200" s="2" t="s">
        <v>156</v>
      </c>
      <c r="C200" s="4">
        <v>7200</v>
      </c>
      <c r="D200" s="4">
        <v>5</v>
      </c>
      <c r="E200" s="4">
        <f t="shared" si="23"/>
        <v>360</v>
      </c>
      <c r="F200" s="4">
        <f>2520+E200*2</f>
        <v>3240</v>
      </c>
      <c r="G200" s="4">
        <f t="shared" si="21"/>
        <v>3600</v>
      </c>
      <c r="H200" s="4">
        <f t="shared" si="22"/>
        <v>3600</v>
      </c>
    </row>
    <row r="201" spans="2:8" x14ac:dyDescent="0.25">
      <c r="B201" s="2" t="s">
        <v>157</v>
      </c>
      <c r="C201" s="4">
        <v>396</v>
      </c>
      <c r="D201" s="4">
        <v>5</v>
      </c>
      <c r="E201" s="4">
        <f t="shared" si="23"/>
        <v>19.8</v>
      </c>
      <c r="F201" s="4">
        <f>138.6+E201*2</f>
        <v>178.2</v>
      </c>
      <c r="G201" s="4">
        <f t="shared" si="21"/>
        <v>198</v>
      </c>
      <c r="H201" s="4">
        <f t="shared" si="22"/>
        <v>198</v>
      </c>
    </row>
    <row r="202" spans="2:8" x14ac:dyDescent="0.25">
      <c r="B202" s="2" t="s">
        <v>158</v>
      </c>
      <c r="C202" s="4">
        <v>15904.02</v>
      </c>
      <c r="D202" s="4">
        <v>5</v>
      </c>
      <c r="E202" s="4">
        <f t="shared" si="23"/>
        <v>795.2</v>
      </c>
      <c r="F202" s="4">
        <f>5566.4+E202*2</f>
        <v>7156.7999999999993</v>
      </c>
      <c r="G202" s="4">
        <f t="shared" si="21"/>
        <v>7951.9999999999991</v>
      </c>
      <c r="H202" s="4">
        <f t="shared" si="22"/>
        <v>7952.0200000000013</v>
      </c>
    </row>
    <row r="203" spans="2:8" x14ac:dyDescent="0.25">
      <c r="B203" s="2" t="s">
        <v>324</v>
      </c>
      <c r="C203" s="4">
        <v>5316.66</v>
      </c>
      <c r="D203" s="4">
        <v>5</v>
      </c>
      <c r="E203" s="4">
        <f t="shared" si="23"/>
        <v>265.83</v>
      </c>
      <c r="F203" s="4">
        <f>1860.81+E203*2</f>
        <v>2392.4699999999998</v>
      </c>
      <c r="G203" s="4">
        <f t="shared" si="21"/>
        <v>2658.2999999999997</v>
      </c>
      <c r="H203" s="4">
        <f t="shared" si="22"/>
        <v>2658.36</v>
      </c>
    </row>
    <row r="204" spans="2:8" x14ac:dyDescent="0.25">
      <c r="B204" s="2" t="s">
        <v>325</v>
      </c>
      <c r="C204" s="4">
        <v>2468.4</v>
      </c>
      <c r="D204" s="4">
        <v>5</v>
      </c>
      <c r="E204" s="4">
        <f t="shared" si="23"/>
        <v>123.42</v>
      </c>
      <c r="F204" s="4">
        <f>863.94+E204*2</f>
        <v>1110.78</v>
      </c>
      <c r="G204" s="4">
        <f t="shared" si="21"/>
        <v>1234.2</v>
      </c>
      <c r="H204" s="4">
        <f t="shared" si="22"/>
        <v>1234.2</v>
      </c>
    </row>
    <row r="205" spans="2:8" x14ac:dyDescent="0.25">
      <c r="B205" s="2" t="s">
        <v>159</v>
      </c>
      <c r="C205" s="4">
        <v>492</v>
      </c>
      <c r="D205" s="4">
        <v>5</v>
      </c>
      <c r="E205" s="4">
        <f t="shared" si="23"/>
        <v>24.6</v>
      </c>
      <c r="F205" s="4">
        <f>172.2+E205</f>
        <v>196.79999999999998</v>
      </c>
      <c r="G205" s="4">
        <f t="shared" si="21"/>
        <v>221.39999999999998</v>
      </c>
      <c r="H205" s="4">
        <f t="shared" si="22"/>
        <v>270.60000000000002</v>
      </c>
    </row>
    <row r="206" spans="2:8" x14ac:dyDescent="0.25">
      <c r="B206" s="2" t="s">
        <v>160</v>
      </c>
      <c r="C206" s="4">
        <v>708</v>
      </c>
      <c r="D206" s="4">
        <v>5</v>
      </c>
      <c r="E206" s="4">
        <f t="shared" si="23"/>
        <v>35.4</v>
      </c>
      <c r="F206" s="4">
        <f>247.8+E206*2</f>
        <v>318.60000000000002</v>
      </c>
      <c r="G206" s="4">
        <f t="shared" si="21"/>
        <v>354</v>
      </c>
      <c r="H206" s="4">
        <f t="shared" si="22"/>
        <v>354</v>
      </c>
    </row>
    <row r="207" spans="2:8" x14ac:dyDescent="0.25">
      <c r="B207" s="2" t="s">
        <v>161</v>
      </c>
      <c r="C207" s="4">
        <v>9540</v>
      </c>
      <c r="D207" s="4">
        <v>5</v>
      </c>
      <c r="E207" s="4">
        <f t="shared" si="23"/>
        <v>477</v>
      </c>
      <c r="F207" s="4">
        <f>3339+E207*2+4500</f>
        <v>8793</v>
      </c>
      <c r="G207" s="4">
        <f>E207+F207</f>
        <v>9270</v>
      </c>
      <c r="H207" s="4">
        <f t="shared" si="22"/>
        <v>270</v>
      </c>
    </row>
    <row r="208" spans="2:8" x14ac:dyDescent="0.25">
      <c r="B208" s="2" t="s">
        <v>162</v>
      </c>
      <c r="C208" s="4">
        <v>513.65</v>
      </c>
      <c r="D208" s="4">
        <v>5</v>
      </c>
      <c r="E208" s="4">
        <f t="shared" si="23"/>
        <v>25.68</v>
      </c>
      <c r="F208" s="4">
        <f>179.76+E208*2</f>
        <v>231.12</v>
      </c>
      <c r="G208" s="4">
        <f t="shared" si="21"/>
        <v>256.8</v>
      </c>
      <c r="H208" s="4">
        <f t="shared" si="22"/>
        <v>256.84999999999997</v>
      </c>
    </row>
    <row r="209" spans="2:8" x14ac:dyDescent="0.25">
      <c r="B209" s="2" t="s">
        <v>180</v>
      </c>
      <c r="C209" s="4">
        <v>19200</v>
      </c>
      <c r="D209" s="4">
        <v>5</v>
      </c>
      <c r="E209" s="4">
        <f t="shared" si="23"/>
        <v>960</v>
      </c>
      <c r="F209" s="4">
        <f>4800+E209*2</f>
        <v>6720</v>
      </c>
      <c r="G209" s="4">
        <f t="shared" si="21"/>
        <v>7680</v>
      </c>
      <c r="H209" s="4">
        <f t="shared" si="22"/>
        <v>11520</v>
      </c>
    </row>
    <row r="210" spans="2:8" x14ac:dyDescent="0.25">
      <c r="B210" s="2" t="s">
        <v>181</v>
      </c>
      <c r="C210" s="28">
        <v>90000</v>
      </c>
      <c r="D210" s="4">
        <v>5</v>
      </c>
      <c r="E210" s="4"/>
      <c r="F210" s="4">
        <f>22500+4500</f>
        <v>27000</v>
      </c>
      <c r="G210" s="4">
        <f t="shared" si="21"/>
        <v>27000</v>
      </c>
      <c r="H210" s="4">
        <v>0</v>
      </c>
    </row>
    <row r="211" spans="2:8" x14ac:dyDescent="0.25">
      <c r="B211" s="2" t="s">
        <v>549</v>
      </c>
      <c r="C211" s="28">
        <v>-7000</v>
      </c>
      <c r="D211" s="4"/>
      <c r="E211" s="4"/>
      <c r="F211" s="4"/>
      <c r="G211" s="4"/>
      <c r="H211" s="4"/>
    </row>
    <row r="212" spans="2:8" x14ac:dyDescent="0.25">
      <c r="B212" s="29" t="s">
        <v>550</v>
      </c>
      <c r="C212" s="28">
        <v>-27000</v>
      </c>
      <c r="D212" s="4"/>
      <c r="E212" s="4"/>
      <c r="F212" s="4"/>
      <c r="G212" s="4">
        <v>-27000</v>
      </c>
      <c r="H212" s="4"/>
    </row>
    <row r="213" spans="2:8" x14ac:dyDescent="0.25">
      <c r="B213" s="2" t="s">
        <v>551</v>
      </c>
      <c r="C213" s="28">
        <v>-56000</v>
      </c>
      <c r="D213" s="4"/>
      <c r="E213" s="4"/>
      <c r="F213" s="4"/>
      <c r="G213" s="4"/>
      <c r="H213" s="4"/>
    </row>
    <row r="214" spans="2:8" x14ac:dyDescent="0.25">
      <c r="B214" s="2" t="s">
        <v>182</v>
      </c>
      <c r="C214" s="4">
        <v>5376</v>
      </c>
      <c r="D214" s="4">
        <v>5</v>
      </c>
      <c r="E214" s="4">
        <f t="shared" si="23"/>
        <v>268.8</v>
      </c>
      <c r="F214" s="4">
        <f>1344+E214*2</f>
        <v>1881.6</v>
      </c>
      <c r="G214" s="4">
        <f t="shared" si="21"/>
        <v>2150.4</v>
      </c>
      <c r="H214" s="4">
        <f t="shared" si="22"/>
        <v>3225.6</v>
      </c>
    </row>
    <row r="215" spans="2:8" x14ac:dyDescent="0.25">
      <c r="B215" s="2" t="s">
        <v>221</v>
      </c>
      <c r="C215" s="10">
        <v>9360</v>
      </c>
      <c r="D215" s="4">
        <v>5</v>
      </c>
      <c r="E215" s="4">
        <f t="shared" si="23"/>
        <v>468</v>
      </c>
      <c r="F215" s="4">
        <f>1872+E215*2</f>
        <v>2808</v>
      </c>
      <c r="G215" s="4">
        <f t="shared" si="21"/>
        <v>3276</v>
      </c>
      <c r="H215" s="4">
        <f t="shared" si="22"/>
        <v>6084</v>
      </c>
    </row>
    <row r="216" spans="2:8" x14ac:dyDescent="0.25">
      <c r="B216" s="2" t="s">
        <v>222</v>
      </c>
      <c r="C216" s="10">
        <v>3600</v>
      </c>
      <c r="D216" s="10">
        <v>5</v>
      </c>
      <c r="E216" s="4">
        <f t="shared" si="23"/>
        <v>180</v>
      </c>
      <c r="F216" s="10">
        <f>720+E216*2</f>
        <v>1080</v>
      </c>
      <c r="G216" s="10">
        <f t="shared" si="21"/>
        <v>1260</v>
      </c>
      <c r="H216" s="10">
        <f t="shared" si="22"/>
        <v>2340</v>
      </c>
    </row>
    <row r="217" spans="2:8" x14ac:dyDescent="0.25">
      <c r="B217" s="2" t="s">
        <v>233</v>
      </c>
      <c r="C217" s="10">
        <v>21600</v>
      </c>
      <c r="D217" s="10">
        <v>5</v>
      </c>
      <c r="E217" s="4">
        <f t="shared" si="23"/>
        <v>1080</v>
      </c>
      <c r="F217" s="10">
        <f>3240+E217*2</f>
        <v>5400</v>
      </c>
      <c r="G217" s="10">
        <f t="shared" si="21"/>
        <v>6480</v>
      </c>
      <c r="H217" s="10">
        <f t="shared" si="22"/>
        <v>15120</v>
      </c>
    </row>
    <row r="218" spans="2:8" x14ac:dyDescent="0.25">
      <c r="B218" s="2" t="s">
        <v>234</v>
      </c>
      <c r="C218" s="12">
        <v>2400</v>
      </c>
      <c r="D218" s="12">
        <v>5</v>
      </c>
      <c r="E218" s="12">
        <f t="shared" si="23"/>
        <v>120</v>
      </c>
      <c r="F218" s="12">
        <f>360+E218*2</f>
        <v>600</v>
      </c>
      <c r="G218" s="12">
        <f t="shared" si="21"/>
        <v>720</v>
      </c>
      <c r="H218" s="12">
        <f t="shared" si="22"/>
        <v>1680</v>
      </c>
    </row>
    <row r="219" spans="2:8" x14ac:dyDescent="0.25">
      <c r="B219" s="5" t="s">
        <v>68</v>
      </c>
      <c r="C219" s="4">
        <f>SUM(C172:C218)</f>
        <v>3087912.41</v>
      </c>
      <c r="E219" s="4">
        <f>SUM(E172:E218)</f>
        <v>103567.95999999998</v>
      </c>
      <c r="F219" s="4">
        <f>SUM(F172:F218)</f>
        <v>2518342.9099999992</v>
      </c>
      <c r="G219" s="4">
        <f>SUM(G172:G218)</f>
        <v>2594910.8699999996</v>
      </c>
      <c r="H219" s="4">
        <f>SUM(H172:H218)</f>
        <v>493001.54000000004</v>
      </c>
    </row>
    <row r="225" spans="2:11" x14ac:dyDescent="0.25">
      <c r="B225" s="5" t="s">
        <v>217</v>
      </c>
      <c r="C225" s="4" t="s">
        <v>216</v>
      </c>
      <c r="E225" s="4"/>
      <c r="F225" s="4"/>
      <c r="G225" s="4"/>
    </row>
    <row r="226" spans="2:11" x14ac:dyDescent="0.25">
      <c r="B226" s="5" t="s">
        <v>561</v>
      </c>
    </row>
    <row r="227" spans="2:11" x14ac:dyDescent="0.25">
      <c r="B227" s="5" t="s">
        <v>28</v>
      </c>
      <c r="C227" s="5" t="s">
        <v>4</v>
      </c>
      <c r="D227" s="5" t="s">
        <v>0</v>
      </c>
      <c r="E227" s="5" t="s">
        <v>1</v>
      </c>
      <c r="F227" s="5" t="s">
        <v>2</v>
      </c>
      <c r="G227" s="5" t="s">
        <v>3</v>
      </c>
      <c r="H227" s="5" t="s">
        <v>5</v>
      </c>
    </row>
    <row r="228" spans="2:11" x14ac:dyDescent="0.25">
      <c r="B228" s="5" t="s">
        <v>69</v>
      </c>
      <c r="C228" s="4">
        <f>C219</f>
        <v>3087912.41</v>
      </c>
      <c r="E228" s="4">
        <f>E219</f>
        <v>103567.95999999998</v>
      </c>
      <c r="F228" s="4">
        <f>F219</f>
        <v>2518342.9099999992</v>
      </c>
      <c r="G228" s="4">
        <f>G219</f>
        <v>2594910.8699999996</v>
      </c>
      <c r="H228" s="4">
        <f>H219</f>
        <v>493001.54000000004</v>
      </c>
    </row>
    <row r="229" spans="2:11" x14ac:dyDescent="0.25">
      <c r="B229" s="2" t="s">
        <v>252</v>
      </c>
      <c r="C229" s="10">
        <v>1937.66</v>
      </c>
      <c r="D229" s="10">
        <v>5</v>
      </c>
      <c r="E229" s="4">
        <f t="shared" ref="E229:E236" si="24">ROUND(C229*D229/100,2)</f>
        <v>96.88</v>
      </c>
      <c r="F229" s="10">
        <f>193.76+E229*2</f>
        <v>387.52</v>
      </c>
      <c r="G229" s="10">
        <f t="shared" ref="G229:G255" si="25">E229+F229</f>
        <v>484.4</v>
      </c>
      <c r="H229" s="10">
        <f t="shared" ref="H229:H256" si="26">C229-G229</f>
        <v>1453.2600000000002</v>
      </c>
    </row>
    <row r="230" spans="2:11" x14ac:dyDescent="0.25">
      <c r="B230" s="2" t="s">
        <v>253</v>
      </c>
      <c r="C230" s="10">
        <v>145.02000000000001</v>
      </c>
      <c r="D230" s="10">
        <v>5</v>
      </c>
      <c r="E230" s="4">
        <f t="shared" si="24"/>
        <v>7.25</v>
      </c>
      <c r="F230" s="10">
        <f>14.5+E230*2</f>
        <v>29</v>
      </c>
      <c r="G230" s="10">
        <f t="shared" si="25"/>
        <v>36.25</v>
      </c>
      <c r="H230" s="10">
        <f t="shared" si="26"/>
        <v>108.77000000000001</v>
      </c>
    </row>
    <row r="231" spans="2:11" x14ac:dyDescent="0.25">
      <c r="B231" s="2" t="s">
        <v>414</v>
      </c>
      <c r="C231" s="10">
        <v>390001.15</v>
      </c>
      <c r="D231" s="10">
        <v>5</v>
      </c>
      <c r="E231" s="4">
        <f t="shared" si="24"/>
        <v>19500.060000000001</v>
      </c>
      <c r="F231" s="10">
        <f>19500.06+E231*2</f>
        <v>58500.180000000008</v>
      </c>
      <c r="G231" s="10">
        <f t="shared" si="25"/>
        <v>78000.240000000005</v>
      </c>
      <c r="H231" s="10">
        <f t="shared" si="26"/>
        <v>312000.91000000003</v>
      </c>
    </row>
    <row r="232" spans="2:11" x14ac:dyDescent="0.25">
      <c r="B232" s="2" t="s">
        <v>351</v>
      </c>
      <c r="C232" s="10">
        <v>490.05</v>
      </c>
      <c r="D232" s="10">
        <v>5</v>
      </c>
      <c r="E232" s="4">
        <f t="shared" si="24"/>
        <v>24.5</v>
      </c>
      <c r="F232" s="10">
        <f>24.5+E232*2</f>
        <v>73.5</v>
      </c>
      <c r="G232" s="10">
        <f t="shared" si="25"/>
        <v>98</v>
      </c>
      <c r="H232" s="10">
        <f t="shared" si="26"/>
        <v>392.05</v>
      </c>
    </row>
    <row r="233" spans="2:11" x14ac:dyDescent="0.25">
      <c r="B233" s="2" t="s">
        <v>353</v>
      </c>
      <c r="C233" s="4">
        <v>10082.19</v>
      </c>
      <c r="D233" s="10">
        <v>5</v>
      </c>
      <c r="E233" s="4">
        <f t="shared" si="24"/>
        <v>504.11</v>
      </c>
      <c r="F233" s="4">
        <f>504.11+E233*2</f>
        <v>1512.33</v>
      </c>
      <c r="G233" s="4">
        <f t="shared" si="25"/>
        <v>2016.44</v>
      </c>
      <c r="H233" s="4">
        <f t="shared" si="26"/>
        <v>8065.75</v>
      </c>
    </row>
    <row r="234" spans="2:11" x14ac:dyDescent="0.25">
      <c r="B234" s="2" t="s">
        <v>352</v>
      </c>
      <c r="C234" s="4">
        <v>2392.17</v>
      </c>
      <c r="D234" s="10">
        <v>5</v>
      </c>
      <c r="E234" s="4">
        <f t="shared" si="24"/>
        <v>119.61</v>
      </c>
      <c r="F234" s="4">
        <f>119.61+E234*2</f>
        <v>358.83</v>
      </c>
      <c r="G234" s="4">
        <f t="shared" si="25"/>
        <v>478.44</v>
      </c>
      <c r="H234" s="4">
        <f t="shared" si="26"/>
        <v>1913.73</v>
      </c>
    </row>
    <row r="235" spans="2:11" x14ac:dyDescent="0.25">
      <c r="B235" s="2" t="s">
        <v>413</v>
      </c>
      <c r="C235" s="4">
        <v>3818.59</v>
      </c>
      <c r="D235" s="10">
        <v>5</v>
      </c>
      <c r="E235" s="4">
        <f t="shared" si="24"/>
        <v>190.93</v>
      </c>
      <c r="F235" s="4">
        <f>190.93+E235*2</f>
        <v>572.79</v>
      </c>
      <c r="G235" s="4">
        <f t="shared" si="25"/>
        <v>763.72</v>
      </c>
      <c r="H235" s="4">
        <f t="shared" si="26"/>
        <v>3054.87</v>
      </c>
    </row>
    <row r="236" spans="2:11" x14ac:dyDescent="0.25">
      <c r="B236" s="2" t="s">
        <v>354</v>
      </c>
      <c r="C236" s="4">
        <v>8379.25</v>
      </c>
      <c r="D236" s="10">
        <v>5</v>
      </c>
      <c r="E236" s="4">
        <f t="shared" si="24"/>
        <v>418.96</v>
      </c>
      <c r="F236" s="4">
        <f>418.96+E236*2</f>
        <v>1256.8799999999999</v>
      </c>
      <c r="G236" s="4">
        <f t="shared" si="25"/>
        <v>1675.84</v>
      </c>
      <c r="H236" s="4">
        <f t="shared" si="26"/>
        <v>6703.41</v>
      </c>
    </row>
    <row r="237" spans="2:11" x14ac:dyDescent="0.25">
      <c r="B237" s="2" t="s">
        <v>355</v>
      </c>
      <c r="C237" s="4">
        <v>1149.5</v>
      </c>
      <c r="D237" s="10">
        <v>5</v>
      </c>
      <c r="E237" s="4">
        <v>57.47</v>
      </c>
      <c r="F237" s="4">
        <f>57.47+E237*2</f>
        <v>172.41</v>
      </c>
      <c r="G237" s="4">
        <f t="shared" si="25"/>
        <v>229.88</v>
      </c>
      <c r="H237" s="4">
        <f t="shared" si="26"/>
        <v>919.62</v>
      </c>
    </row>
    <row r="238" spans="2:11" x14ac:dyDescent="0.25">
      <c r="B238" s="2" t="s">
        <v>398</v>
      </c>
      <c r="C238" s="4">
        <v>5627.65</v>
      </c>
      <c r="D238" s="10">
        <v>5</v>
      </c>
      <c r="E238" s="4">
        <f t="shared" ref="E238:E256" si="27">ROUND(C238*D238/100,2)</f>
        <v>281.38</v>
      </c>
      <c r="F238" s="4">
        <f>281.38*2</f>
        <v>562.76</v>
      </c>
      <c r="G238" s="4">
        <f t="shared" si="25"/>
        <v>844.14</v>
      </c>
      <c r="H238" s="4">
        <f t="shared" si="26"/>
        <v>4783.5099999999993</v>
      </c>
    </row>
    <row r="239" spans="2:11" x14ac:dyDescent="0.25">
      <c r="B239" s="2" t="s">
        <v>397</v>
      </c>
      <c r="C239" s="4">
        <v>693.74</v>
      </c>
      <c r="D239" s="10">
        <v>5</v>
      </c>
      <c r="E239" s="4">
        <f t="shared" si="27"/>
        <v>34.69</v>
      </c>
      <c r="F239" s="4">
        <f>34.69*2</f>
        <v>69.38</v>
      </c>
      <c r="G239" s="4">
        <f t="shared" si="25"/>
        <v>104.07</v>
      </c>
      <c r="H239" s="4">
        <f t="shared" si="26"/>
        <v>589.67000000000007</v>
      </c>
      <c r="K239" s="4"/>
    </row>
    <row r="240" spans="2:11" x14ac:dyDescent="0.25">
      <c r="B240" s="2" t="s">
        <v>399</v>
      </c>
      <c r="C240" s="4">
        <v>7464.43</v>
      </c>
      <c r="D240" s="10">
        <v>5</v>
      </c>
      <c r="E240" s="4">
        <f t="shared" si="27"/>
        <v>373.22</v>
      </c>
      <c r="F240" s="4">
        <f>373.22*2</f>
        <v>746.44</v>
      </c>
      <c r="G240" s="4">
        <f t="shared" si="25"/>
        <v>1119.6600000000001</v>
      </c>
      <c r="H240" s="4">
        <f t="shared" si="26"/>
        <v>6344.77</v>
      </c>
      <c r="K240" s="4"/>
    </row>
    <row r="241" spans="2:11" x14ac:dyDescent="0.25">
      <c r="B241" s="2" t="s">
        <v>400</v>
      </c>
      <c r="C241" s="4">
        <v>21901</v>
      </c>
      <c r="D241" s="10">
        <v>5</v>
      </c>
      <c r="E241" s="4">
        <f t="shared" si="27"/>
        <v>1095.05</v>
      </c>
      <c r="F241" s="4">
        <f>1095.05*2</f>
        <v>2190.1</v>
      </c>
      <c r="G241" s="4">
        <f t="shared" si="25"/>
        <v>3285.1499999999996</v>
      </c>
      <c r="H241" s="4">
        <f t="shared" si="26"/>
        <v>18615.849999999999</v>
      </c>
      <c r="K241" s="4"/>
    </row>
    <row r="242" spans="2:11" x14ac:dyDescent="0.25">
      <c r="B242" s="2" t="s">
        <v>401</v>
      </c>
      <c r="C242" s="4">
        <v>7419.72</v>
      </c>
      <c r="D242" s="10">
        <v>5</v>
      </c>
      <c r="E242" s="4">
        <f t="shared" si="27"/>
        <v>370.99</v>
      </c>
      <c r="F242" s="4">
        <f>370.99*2</f>
        <v>741.98</v>
      </c>
      <c r="G242" s="4">
        <f t="shared" si="25"/>
        <v>1112.97</v>
      </c>
      <c r="H242" s="4">
        <f t="shared" si="26"/>
        <v>6306.75</v>
      </c>
      <c r="K242" s="4"/>
    </row>
    <row r="243" spans="2:11" x14ac:dyDescent="0.25">
      <c r="B243" s="2" t="s">
        <v>402</v>
      </c>
      <c r="C243" s="4">
        <v>1040.5999999999999</v>
      </c>
      <c r="D243" s="10">
        <v>5</v>
      </c>
      <c r="E243" s="4">
        <f t="shared" si="27"/>
        <v>52.03</v>
      </c>
      <c r="F243" s="4">
        <f>52.03*2</f>
        <v>104.06</v>
      </c>
      <c r="G243" s="4">
        <f t="shared" si="25"/>
        <v>156.09</v>
      </c>
      <c r="H243" s="4">
        <f t="shared" si="26"/>
        <v>884.50999999999988</v>
      </c>
      <c r="K243" s="4"/>
    </row>
    <row r="244" spans="2:11" x14ac:dyDescent="0.25">
      <c r="B244" s="2" t="s">
        <v>403</v>
      </c>
      <c r="C244" s="4">
        <v>810.7</v>
      </c>
      <c r="D244" s="10">
        <v>5</v>
      </c>
      <c r="E244" s="4">
        <f t="shared" si="27"/>
        <v>40.54</v>
      </c>
      <c r="F244" s="4">
        <f>40.54*2</f>
        <v>81.08</v>
      </c>
      <c r="G244" s="4">
        <f t="shared" si="25"/>
        <v>121.62</v>
      </c>
      <c r="H244" s="4">
        <f t="shared" si="26"/>
        <v>689.08</v>
      </c>
      <c r="K244" s="4"/>
    </row>
    <row r="245" spans="2:11" x14ac:dyDescent="0.25">
      <c r="B245" s="2" t="s">
        <v>472</v>
      </c>
      <c r="C245" s="4">
        <v>67.78</v>
      </c>
      <c r="D245" s="10">
        <v>5</v>
      </c>
      <c r="E245" s="4">
        <f t="shared" si="27"/>
        <v>3.39</v>
      </c>
      <c r="F245" s="4">
        <f>3.39*2</f>
        <v>6.78</v>
      </c>
      <c r="G245" s="4">
        <f t="shared" si="25"/>
        <v>10.17</v>
      </c>
      <c r="H245" s="4">
        <f t="shared" si="26"/>
        <v>57.61</v>
      </c>
      <c r="K245" s="4"/>
    </row>
    <row r="246" spans="2:11" x14ac:dyDescent="0.25">
      <c r="B246" s="2" t="s">
        <v>406</v>
      </c>
      <c r="C246" s="4">
        <v>4684.8</v>
      </c>
      <c r="D246" s="10">
        <v>5</v>
      </c>
      <c r="E246" s="4">
        <f t="shared" si="27"/>
        <v>234.24</v>
      </c>
      <c r="F246" s="4">
        <f>234.24*2</f>
        <v>468.48</v>
      </c>
      <c r="G246" s="4">
        <f t="shared" si="25"/>
        <v>702.72</v>
      </c>
      <c r="H246" s="4">
        <f t="shared" si="26"/>
        <v>3982.08</v>
      </c>
      <c r="K246" s="4"/>
    </row>
    <row r="247" spans="2:11" x14ac:dyDescent="0.25">
      <c r="B247" s="2" t="s">
        <v>404</v>
      </c>
      <c r="C247" s="4">
        <v>4000</v>
      </c>
      <c r="D247" s="10">
        <v>5</v>
      </c>
      <c r="E247" s="4">
        <f t="shared" si="27"/>
        <v>200</v>
      </c>
      <c r="F247" s="4">
        <f>200*2</f>
        <v>400</v>
      </c>
      <c r="G247" s="4">
        <f t="shared" si="25"/>
        <v>600</v>
      </c>
      <c r="H247" s="4">
        <f t="shared" si="26"/>
        <v>3400</v>
      </c>
      <c r="K247" s="4"/>
    </row>
    <row r="248" spans="2:11" x14ac:dyDescent="0.25">
      <c r="B248" s="2" t="s">
        <v>405</v>
      </c>
      <c r="C248" s="4">
        <v>509.62</v>
      </c>
      <c r="D248" s="10">
        <v>5</v>
      </c>
      <c r="E248" s="4">
        <f t="shared" si="27"/>
        <v>25.48</v>
      </c>
      <c r="F248" s="4">
        <f>25.48*2</f>
        <v>50.96</v>
      </c>
      <c r="G248" s="4">
        <f t="shared" si="25"/>
        <v>76.44</v>
      </c>
      <c r="H248" s="4">
        <f t="shared" si="26"/>
        <v>433.18</v>
      </c>
      <c r="K248" s="4"/>
    </row>
    <row r="249" spans="2:11" x14ac:dyDescent="0.25">
      <c r="B249" s="2" t="s">
        <v>407</v>
      </c>
      <c r="C249" s="4">
        <v>5490</v>
      </c>
      <c r="D249" s="10">
        <v>5</v>
      </c>
      <c r="E249" s="4">
        <f t="shared" si="27"/>
        <v>274.5</v>
      </c>
      <c r="F249" s="4">
        <f>274.5*2</f>
        <v>549</v>
      </c>
      <c r="G249" s="4">
        <f t="shared" si="25"/>
        <v>823.5</v>
      </c>
      <c r="H249" s="4">
        <f t="shared" si="26"/>
        <v>4666.5</v>
      </c>
      <c r="K249" s="4"/>
    </row>
    <row r="250" spans="2:11" x14ac:dyDescent="0.25">
      <c r="B250" s="5" t="s">
        <v>418</v>
      </c>
      <c r="C250" s="10">
        <v>-129468</v>
      </c>
      <c r="D250" s="10">
        <v>5</v>
      </c>
      <c r="E250" s="4">
        <f t="shared" si="27"/>
        <v>-6473.4</v>
      </c>
      <c r="F250" s="4">
        <f>-6473.4+E250*2</f>
        <v>-19420.199999999997</v>
      </c>
      <c r="G250" s="4">
        <f t="shared" si="25"/>
        <v>-25893.599999999999</v>
      </c>
      <c r="H250" s="4">
        <f t="shared" si="26"/>
        <v>-103574.39999999999</v>
      </c>
      <c r="K250" s="4"/>
    </row>
    <row r="251" spans="2:11" x14ac:dyDescent="0.25">
      <c r="B251" s="5" t="s">
        <v>419</v>
      </c>
      <c r="C251" s="10">
        <v>-7365.3</v>
      </c>
      <c r="D251" s="10">
        <v>5</v>
      </c>
      <c r="E251" s="4">
        <f t="shared" si="27"/>
        <v>-368.27</v>
      </c>
      <c r="F251" s="4">
        <f>-368.27+E251*2</f>
        <v>-1104.81</v>
      </c>
      <c r="G251" s="4">
        <f t="shared" si="25"/>
        <v>-1473.08</v>
      </c>
      <c r="H251" s="4">
        <f t="shared" si="26"/>
        <v>-5892.22</v>
      </c>
      <c r="K251" s="4"/>
    </row>
    <row r="252" spans="2:11" x14ac:dyDescent="0.25">
      <c r="B252" s="5" t="s">
        <v>424</v>
      </c>
      <c r="C252" s="10">
        <v>-790.8</v>
      </c>
      <c r="D252" s="10">
        <v>5</v>
      </c>
      <c r="E252" s="4">
        <f t="shared" si="27"/>
        <v>-39.54</v>
      </c>
      <c r="F252" s="4">
        <f>-39.54+E252*2</f>
        <v>-118.62</v>
      </c>
      <c r="G252" s="4">
        <f t="shared" si="25"/>
        <v>-158.16</v>
      </c>
      <c r="H252" s="4">
        <f t="shared" si="26"/>
        <v>-632.64</v>
      </c>
      <c r="K252" s="4"/>
    </row>
    <row r="253" spans="2:11" x14ac:dyDescent="0.25">
      <c r="B253" s="5" t="s">
        <v>420</v>
      </c>
      <c r="C253" s="10">
        <v>-4327.96</v>
      </c>
      <c r="D253" s="10">
        <v>5</v>
      </c>
      <c r="E253" s="4">
        <f t="shared" si="27"/>
        <v>-216.4</v>
      </c>
      <c r="F253" s="4">
        <f>-216.4*2</f>
        <v>-432.8</v>
      </c>
      <c r="G253" s="4">
        <f t="shared" si="25"/>
        <v>-649.20000000000005</v>
      </c>
      <c r="H253" s="4">
        <f t="shared" si="26"/>
        <v>-3678.76</v>
      </c>
      <c r="K253" s="4"/>
    </row>
    <row r="254" spans="2:11" x14ac:dyDescent="0.25">
      <c r="B254" s="5" t="s">
        <v>421</v>
      </c>
      <c r="C254" s="10">
        <v>-612</v>
      </c>
      <c r="D254" s="10">
        <v>5</v>
      </c>
      <c r="E254" s="4">
        <f t="shared" si="27"/>
        <v>-30.6</v>
      </c>
      <c r="F254" s="4">
        <f>-30.6*2</f>
        <v>-61.2</v>
      </c>
      <c r="G254" s="4">
        <f t="shared" si="25"/>
        <v>-91.800000000000011</v>
      </c>
      <c r="H254" s="4">
        <f t="shared" si="26"/>
        <v>-520.20000000000005</v>
      </c>
      <c r="K254" s="10"/>
    </row>
    <row r="255" spans="2:11" x14ac:dyDescent="0.25">
      <c r="B255" s="5" t="s">
        <v>422</v>
      </c>
      <c r="C255" s="10">
        <v>-7469.34</v>
      </c>
      <c r="D255" s="10">
        <v>5</v>
      </c>
      <c r="E255" s="4">
        <f t="shared" si="27"/>
        <v>-373.47</v>
      </c>
      <c r="F255" s="4">
        <f>-373.47*2</f>
        <v>-746.94</v>
      </c>
      <c r="G255" s="4">
        <f t="shared" si="25"/>
        <v>-1120.4100000000001</v>
      </c>
      <c r="H255" s="4">
        <f t="shared" si="26"/>
        <v>-6348.93</v>
      </c>
    </row>
    <row r="256" spans="2:11" x14ac:dyDescent="0.25">
      <c r="B256" s="5" t="s">
        <v>423</v>
      </c>
      <c r="C256" s="10">
        <v>-1800</v>
      </c>
      <c r="D256" s="10">
        <v>5</v>
      </c>
      <c r="E256" s="10">
        <f t="shared" si="27"/>
        <v>-90</v>
      </c>
      <c r="F256" s="10">
        <f>-90*2+24.15</f>
        <v>-155.85</v>
      </c>
      <c r="G256" s="10">
        <f>E256+F256</f>
        <v>-245.85</v>
      </c>
      <c r="H256" s="10">
        <f t="shared" si="26"/>
        <v>-1554.15</v>
      </c>
    </row>
    <row r="257" spans="2:8" x14ac:dyDescent="0.25">
      <c r="B257" s="15" t="s">
        <v>552</v>
      </c>
      <c r="C257" s="30">
        <f>13891.24+3056.07</f>
        <v>16947.310000000001</v>
      </c>
      <c r="D257" s="10">
        <v>5</v>
      </c>
      <c r="E257" s="10">
        <v>0</v>
      </c>
      <c r="F257" s="10">
        <v>0</v>
      </c>
      <c r="G257" s="10"/>
      <c r="H257" s="10">
        <f>C257-G257</f>
        <v>16947.310000000001</v>
      </c>
    </row>
    <row r="258" spans="2:8" x14ac:dyDescent="0.25">
      <c r="B258" s="5" t="s">
        <v>553</v>
      </c>
      <c r="C258" s="30">
        <f>6000+1320</f>
        <v>7320</v>
      </c>
      <c r="D258" s="10">
        <v>5</v>
      </c>
      <c r="E258" s="10">
        <v>0</v>
      </c>
      <c r="F258" s="10">
        <v>0</v>
      </c>
      <c r="G258" s="10"/>
      <c r="H258" s="10">
        <f>C258-G258</f>
        <v>7320</v>
      </c>
    </row>
    <row r="259" spans="2:8" x14ac:dyDescent="0.25">
      <c r="B259" s="5" t="s">
        <v>554</v>
      </c>
      <c r="C259" s="30">
        <f>14000+3080</f>
        <v>17080</v>
      </c>
      <c r="D259" s="10">
        <v>5</v>
      </c>
      <c r="E259" s="10">
        <v>0</v>
      </c>
      <c r="F259" s="10">
        <v>0</v>
      </c>
      <c r="G259" s="10"/>
      <c r="H259" s="10">
        <f>C259-G259</f>
        <v>17080</v>
      </c>
    </row>
    <row r="260" spans="2:8" x14ac:dyDescent="0.25">
      <c r="B260" s="5" t="s">
        <v>555</v>
      </c>
      <c r="C260" s="30">
        <f>332000+73040</f>
        <v>405040</v>
      </c>
      <c r="D260" s="10">
        <v>5</v>
      </c>
      <c r="E260" s="10">
        <v>0</v>
      </c>
      <c r="F260" s="10">
        <v>0</v>
      </c>
      <c r="G260" s="10"/>
      <c r="H260" s="10">
        <f>C260-G260</f>
        <v>405040</v>
      </c>
    </row>
    <row r="261" spans="2:8" x14ac:dyDescent="0.25">
      <c r="B261" s="5" t="s">
        <v>556</v>
      </c>
      <c r="C261" s="31">
        <f>19486.97+4287.13</f>
        <v>23774.100000000002</v>
      </c>
      <c r="D261" s="12">
        <v>5</v>
      </c>
      <c r="E261" s="12">
        <v>0</v>
      </c>
      <c r="F261" s="12">
        <v>0</v>
      </c>
      <c r="G261" s="12"/>
      <c r="H261" s="12">
        <f>C261-G261</f>
        <v>23774.100000000002</v>
      </c>
    </row>
    <row r="262" spans="2:8" x14ac:dyDescent="0.25">
      <c r="B262" s="2" t="s">
        <v>357</v>
      </c>
      <c r="C262" s="4">
        <f>SUM(C228:C261)</f>
        <v>3884346.040000001</v>
      </c>
      <c r="E262" s="4">
        <f>SUM(E228:E261)</f>
        <v>119881.56</v>
      </c>
      <c r="F262" s="4">
        <f>SUM(F228:F256)</f>
        <v>2565136.9499999988</v>
      </c>
      <c r="G262" s="4">
        <f>SUM(G228:G261)</f>
        <v>2658018.5099999993</v>
      </c>
      <c r="H262" s="4">
        <f>SUM(H228:H261)</f>
        <v>1226327.5300000003</v>
      </c>
    </row>
    <row r="263" spans="2:8" x14ac:dyDescent="0.25">
      <c r="B263" s="2" t="s">
        <v>278</v>
      </c>
    </row>
    <row r="264" spans="2:8" x14ac:dyDescent="0.25">
      <c r="B264" s="2" t="s">
        <v>307</v>
      </c>
    </row>
    <row r="265" spans="2:8" x14ac:dyDescent="0.25">
      <c r="B265" s="2" t="s">
        <v>308</v>
      </c>
      <c r="C265" s="10">
        <v>4675</v>
      </c>
      <c r="D265" s="10">
        <v>5</v>
      </c>
      <c r="E265" s="10">
        <f>C265*D265/100</f>
        <v>233.75</v>
      </c>
      <c r="F265" s="10">
        <f>701.25+E265*2</f>
        <v>1168.75</v>
      </c>
      <c r="G265" s="10">
        <f>E265+F265</f>
        <v>1402.5</v>
      </c>
      <c r="H265" s="10">
        <f>C265-G265</f>
        <v>3272.5</v>
      </c>
    </row>
    <row r="266" spans="2:8" x14ac:dyDescent="0.25">
      <c r="B266" s="2" t="s">
        <v>341</v>
      </c>
      <c r="C266" s="10">
        <v>-330</v>
      </c>
      <c r="D266" s="10">
        <v>5</v>
      </c>
      <c r="E266" s="10">
        <f>C266*D266/100</f>
        <v>-16.5</v>
      </c>
      <c r="F266" s="10">
        <f>-49.5+E266*2</f>
        <v>-82.5</v>
      </c>
      <c r="G266" s="10">
        <f>E266+F266</f>
        <v>-99</v>
      </c>
      <c r="H266" s="10">
        <f>C266-G266</f>
        <v>-231</v>
      </c>
    </row>
    <row r="267" spans="2:8" x14ac:dyDescent="0.25">
      <c r="B267" s="2" t="s">
        <v>356</v>
      </c>
    </row>
    <row r="268" spans="2:8" x14ac:dyDescent="0.25">
      <c r="B268" s="2" t="s">
        <v>342</v>
      </c>
      <c r="C268" s="10">
        <v>721.68</v>
      </c>
      <c r="D268" s="10">
        <v>5</v>
      </c>
      <c r="E268" s="10">
        <f>C268*D268/100</f>
        <v>36.083999999999996</v>
      </c>
      <c r="F268" s="10">
        <f>144.32+E268*2</f>
        <v>216.488</v>
      </c>
      <c r="G268" s="10">
        <f>E268+F268</f>
        <v>252.572</v>
      </c>
      <c r="H268" s="10">
        <f>C268-G268</f>
        <v>469.10799999999995</v>
      </c>
    </row>
    <row r="269" spans="2:8" x14ac:dyDescent="0.25">
      <c r="B269" s="2" t="s">
        <v>309</v>
      </c>
      <c r="C269" s="10">
        <v>365.22</v>
      </c>
      <c r="D269" s="10">
        <v>5</v>
      </c>
      <c r="E269" s="10">
        <f>C269*D269/100</f>
        <v>18.261000000000003</v>
      </c>
      <c r="F269" s="10">
        <f>54.78+E269*2</f>
        <v>91.302000000000007</v>
      </c>
      <c r="G269" s="10">
        <f>E269+F269</f>
        <v>109.56300000000002</v>
      </c>
      <c r="H269" s="10">
        <f>C269-G269</f>
        <v>255.65700000000001</v>
      </c>
    </row>
    <row r="270" spans="2:8" x14ac:dyDescent="0.25">
      <c r="B270" s="5" t="s">
        <v>310</v>
      </c>
    </row>
    <row r="271" spans="2:8" x14ac:dyDescent="0.25">
      <c r="B271" s="2" t="s">
        <v>311</v>
      </c>
      <c r="C271" s="10">
        <v>450</v>
      </c>
      <c r="D271" s="10">
        <v>5</v>
      </c>
      <c r="E271" s="10">
        <f>C271*D271/100</f>
        <v>22.5</v>
      </c>
      <c r="F271" s="10">
        <f>157.5+E271*2</f>
        <v>202.5</v>
      </c>
      <c r="G271" s="4">
        <f>E271+F271</f>
        <v>225</v>
      </c>
      <c r="H271" s="4">
        <f>C271-G271</f>
        <v>225</v>
      </c>
    </row>
    <row r="272" spans="2:8" x14ac:dyDescent="0.25">
      <c r="B272" s="2" t="s">
        <v>312</v>
      </c>
      <c r="C272" s="10">
        <v>1683.92</v>
      </c>
      <c r="D272" s="10">
        <v>5</v>
      </c>
      <c r="E272" s="10">
        <f>C272*D272/100</f>
        <v>84.195999999999998</v>
      </c>
      <c r="F272" s="10">
        <f>336.8+E272*2</f>
        <v>505.19200000000001</v>
      </c>
      <c r="G272" s="4">
        <f>E272+F272</f>
        <v>589.38800000000003</v>
      </c>
      <c r="H272" s="4">
        <f>C272-G272</f>
        <v>1094.5320000000002</v>
      </c>
    </row>
    <row r="273" spans="2:8" x14ac:dyDescent="0.25">
      <c r="B273" s="2" t="s">
        <v>506</v>
      </c>
      <c r="C273" s="10">
        <v>1050</v>
      </c>
      <c r="D273" s="10">
        <v>5</v>
      </c>
      <c r="E273" s="10">
        <f>C273*D273/100</f>
        <v>52.5</v>
      </c>
      <c r="F273" s="10">
        <f>367.5+E273*2</f>
        <v>472.5</v>
      </c>
      <c r="G273" s="4">
        <f>E273+F273</f>
        <v>525</v>
      </c>
      <c r="H273" s="4">
        <f>C273-G273</f>
        <v>525</v>
      </c>
    </row>
    <row r="274" spans="2:8" x14ac:dyDescent="0.25">
      <c r="B274" s="2" t="s">
        <v>507</v>
      </c>
      <c r="C274" s="10">
        <v>1126.8</v>
      </c>
      <c r="D274" s="10">
        <v>5</v>
      </c>
      <c r="E274" s="10">
        <f>C274*D274/100</f>
        <v>56.34</v>
      </c>
      <c r="F274" s="10">
        <f>394.38+E274*2</f>
        <v>507.06</v>
      </c>
      <c r="G274" s="4">
        <f>E274+F274</f>
        <v>563.4</v>
      </c>
      <c r="H274" s="4">
        <f>C274-G274</f>
        <v>563.4</v>
      </c>
    </row>
    <row r="275" spans="2:8" x14ac:dyDescent="0.25">
      <c r="B275" s="5" t="s">
        <v>313</v>
      </c>
      <c r="E275" s="10"/>
      <c r="F275" s="10"/>
      <c r="G275" s="4"/>
      <c r="H275" s="4"/>
    </row>
    <row r="276" spans="2:8" x14ac:dyDescent="0.25">
      <c r="B276" s="2" t="s">
        <v>315</v>
      </c>
      <c r="C276" s="10">
        <v>10080</v>
      </c>
      <c r="D276" s="10">
        <v>5</v>
      </c>
      <c r="E276" s="10">
        <f>C276*D276/100</f>
        <v>504</v>
      </c>
      <c r="F276" s="10">
        <f>3780+E276*2</f>
        <v>4788</v>
      </c>
      <c r="G276" s="4">
        <f>E276+F276</f>
        <v>5292</v>
      </c>
      <c r="H276" s="4">
        <f>C276-G276</f>
        <v>4788</v>
      </c>
    </row>
    <row r="277" spans="2:8" x14ac:dyDescent="0.25">
      <c r="B277" s="2" t="s">
        <v>314</v>
      </c>
      <c r="C277" s="12">
        <v>909.6</v>
      </c>
      <c r="D277" s="12">
        <v>5</v>
      </c>
      <c r="E277" s="12">
        <f>C277*D277/100</f>
        <v>45.48</v>
      </c>
      <c r="F277" s="12">
        <f>341.1+E277*2</f>
        <v>432.06</v>
      </c>
      <c r="G277" s="12">
        <f>E277+F277</f>
        <v>477.54</v>
      </c>
      <c r="H277" s="12">
        <f>C277-G277</f>
        <v>432.06</v>
      </c>
    </row>
    <row r="278" spans="2:8" x14ac:dyDescent="0.25">
      <c r="B278" s="5" t="s">
        <v>409</v>
      </c>
      <c r="C278" s="4">
        <f>SUM(C262:C277)</f>
        <v>3905078.2600000012</v>
      </c>
      <c r="E278" s="4">
        <f>SUM(E262:E277)</f>
        <v>120918.17099999999</v>
      </c>
      <c r="F278" s="4">
        <f>SUM(F262:F277)</f>
        <v>2573438.3019999987</v>
      </c>
      <c r="G278" s="4">
        <f>SUM(G262:G277)</f>
        <v>2667356.4729999993</v>
      </c>
      <c r="H278" s="4">
        <f>SUM(H262:H277)</f>
        <v>1237721.787</v>
      </c>
    </row>
    <row r="279" spans="2:8" x14ac:dyDescent="0.25">
      <c r="C279" s="4"/>
      <c r="E279" s="4"/>
      <c r="F279" s="4"/>
      <c r="G279" s="4"/>
      <c r="H279" s="4"/>
    </row>
    <row r="280" spans="2:8" x14ac:dyDescent="0.25">
      <c r="C280" s="4"/>
      <c r="E280" s="4"/>
      <c r="F280" s="4"/>
      <c r="G280" s="4"/>
      <c r="H280" s="4"/>
    </row>
    <row r="281" spans="2:8" x14ac:dyDescent="0.25">
      <c r="B281" s="5" t="s">
        <v>217</v>
      </c>
      <c r="C281" s="4" t="s">
        <v>216</v>
      </c>
      <c r="E281" s="15"/>
      <c r="F281" s="16"/>
      <c r="H281" s="4"/>
    </row>
    <row r="282" spans="2:8" x14ac:dyDescent="0.25">
      <c r="B282" s="5" t="s">
        <v>561</v>
      </c>
      <c r="C282" s="10"/>
      <c r="D282" s="10"/>
      <c r="E282" s="10"/>
      <c r="F282" s="10"/>
      <c r="G282" s="10"/>
      <c r="H282" s="10"/>
    </row>
    <row r="283" spans="2:8" x14ac:dyDescent="0.25">
      <c r="B283" s="5" t="s">
        <v>28</v>
      </c>
      <c r="C283" s="5" t="s">
        <v>9</v>
      </c>
      <c r="D283" s="5" t="s">
        <v>10</v>
      </c>
      <c r="E283" s="5" t="s">
        <v>1</v>
      </c>
      <c r="F283" s="5" t="s">
        <v>2</v>
      </c>
      <c r="G283" s="5" t="s">
        <v>3</v>
      </c>
      <c r="H283" s="5" t="s">
        <v>5</v>
      </c>
    </row>
    <row r="284" spans="2:8" x14ac:dyDescent="0.25">
      <c r="B284" s="5" t="s">
        <v>408</v>
      </c>
      <c r="C284" s="4">
        <f>C278</f>
        <v>3905078.2600000012</v>
      </c>
      <c r="E284" s="4">
        <f>E278</f>
        <v>120918.17099999999</v>
      </c>
      <c r="F284" s="4">
        <f>F278</f>
        <v>2573438.3019999987</v>
      </c>
      <c r="G284" s="4">
        <f>G278</f>
        <v>2667356.4729999993</v>
      </c>
      <c r="H284" s="4">
        <f>H278</f>
        <v>1237721.787</v>
      </c>
    </row>
    <row r="285" spans="2:8" x14ac:dyDescent="0.25">
      <c r="B285" s="2" t="s">
        <v>316</v>
      </c>
      <c r="C285" s="10">
        <v>971.04</v>
      </c>
      <c r="D285" s="10">
        <v>5</v>
      </c>
      <c r="E285" s="10">
        <f>C285*D285/100</f>
        <v>48.552</v>
      </c>
      <c r="F285" s="10">
        <f>364.13+E285*2</f>
        <v>461.23399999999998</v>
      </c>
      <c r="G285" s="4">
        <f>E285+F285</f>
        <v>509.786</v>
      </c>
      <c r="H285" s="4">
        <f>C285-G285</f>
        <v>461.25399999999996</v>
      </c>
    </row>
    <row r="286" spans="2:8" x14ac:dyDescent="0.25">
      <c r="B286" s="2" t="s">
        <v>317</v>
      </c>
      <c r="C286" s="10">
        <v>144</v>
      </c>
      <c r="D286" s="10">
        <v>5</v>
      </c>
      <c r="E286" s="10">
        <f>C286*D286/100</f>
        <v>7.2</v>
      </c>
      <c r="F286" s="10">
        <f>50.4+E286*2</f>
        <v>64.8</v>
      </c>
      <c r="G286" s="4">
        <f>E286+F286</f>
        <v>72</v>
      </c>
      <c r="H286" s="4">
        <f>C286-G286</f>
        <v>72</v>
      </c>
    </row>
    <row r="287" spans="2:8" x14ac:dyDescent="0.25">
      <c r="B287" s="2" t="s">
        <v>318</v>
      </c>
      <c r="D287" s="10"/>
      <c r="E287" s="10"/>
      <c r="F287" s="10"/>
      <c r="G287" s="4"/>
      <c r="H287" s="4"/>
    </row>
    <row r="288" spans="2:8" x14ac:dyDescent="0.25">
      <c r="B288" s="2" t="s">
        <v>319</v>
      </c>
      <c r="C288" s="10">
        <v>540</v>
      </c>
      <c r="D288" s="10">
        <v>5</v>
      </c>
      <c r="E288" s="10">
        <f t="shared" ref="E288:E295" si="28">C288*D288/100</f>
        <v>27</v>
      </c>
      <c r="F288" s="10">
        <f>202.5+E288*2</f>
        <v>256.5</v>
      </c>
      <c r="G288" s="4">
        <f t="shared" ref="G288:G295" si="29">E288+F288</f>
        <v>283.5</v>
      </c>
      <c r="H288" s="4">
        <f t="shared" ref="H288:H295" si="30">C288-G288</f>
        <v>256.5</v>
      </c>
    </row>
    <row r="289" spans="1:8" x14ac:dyDescent="0.25">
      <c r="B289" s="2" t="s">
        <v>474</v>
      </c>
      <c r="C289" s="10">
        <v>540</v>
      </c>
      <c r="D289" s="10">
        <v>5</v>
      </c>
      <c r="E289" s="10">
        <f t="shared" si="28"/>
        <v>27</v>
      </c>
      <c r="F289" s="10">
        <f>202.5+E289*2</f>
        <v>256.5</v>
      </c>
      <c r="G289" s="4">
        <f t="shared" si="29"/>
        <v>283.5</v>
      </c>
      <c r="H289" s="4">
        <f t="shared" si="30"/>
        <v>256.5</v>
      </c>
    </row>
    <row r="290" spans="1:8" x14ac:dyDescent="0.25">
      <c r="B290" s="2" t="s">
        <v>321</v>
      </c>
      <c r="C290" s="10">
        <v>8675.35</v>
      </c>
      <c r="D290" s="10">
        <v>5</v>
      </c>
      <c r="E290" s="10">
        <f t="shared" si="28"/>
        <v>433.76749999999998</v>
      </c>
      <c r="F290" s="10">
        <f>3253.26+E290*2</f>
        <v>4120.7950000000001</v>
      </c>
      <c r="G290" s="4">
        <f t="shared" si="29"/>
        <v>4554.5625</v>
      </c>
      <c r="H290" s="4">
        <f t="shared" si="30"/>
        <v>4120.7875000000004</v>
      </c>
    </row>
    <row r="291" spans="1:8" x14ac:dyDescent="0.25">
      <c r="B291" s="2" t="s">
        <v>475</v>
      </c>
      <c r="C291" s="10">
        <v>26026.06</v>
      </c>
      <c r="D291" s="10">
        <v>5</v>
      </c>
      <c r="E291" s="10">
        <f t="shared" si="28"/>
        <v>1301.3030000000001</v>
      </c>
      <c r="F291" s="10">
        <f>9759.77+E291*2</f>
        <v>12362.376</v>
      </c>
      <c r="G291" s="4">
        <f t="shared" si="29"/>
        <v>13663.679</v>
      </c>
      <c r="H291" s="4">
        <f t="shared" si="30"/>
        <v>12362.381000000001</v>
      </c>
    </row>
    <row r="292" spans="1:8" x14ac:dyDescent="0.25">
      <c r="B292" s="2" t="s">
        <v>334</v>
      </c>
      <c r="C292" s="10">
        <v>4345</v>
      </c>
      <c r="D292" s="10">
        <v>5</v>
      </c>
      <c r="E292" s="10">
        <f t="shared" si="28"/>
        <v>217.25</v>
      </c>
      <c r="F292" s="10">
        <f>651.75+E292*2</f>
        <v>1086.25</v>
      </c>
      <c r="G292" s="4">
        <f t="shared" si="29"/>
        <v>1303.5</v>
      </c>
      <c r="H292" s="4">
        <f t="shared" si="30"/>
        <v>3041.5</v>
      </c>
    </row>
    <row r="293" spans="1:8" x14ac:dyDescent="0.25">
      <c r="B293" s="2" t="s">
        <v>320</v>
      </c>
      <c r="C293" s="10">
        <v>6960</v>
      </c>
      <c r="D293" s="10">
        <v>5</v>
      </c>
      <c r="E293" s="10">
        <f t="shared" si="28"/>
        <v>348</v>
      </c>
      <c r="F293" s="10">
        <f>2610+E293*2</f>
        <v>3306</v>
      </c>
      <c r="G293" s="4">
        <f t="shared" si="29"/>
        <v>3654</v>
      </c>
      <c r="H293" s="4">
        <f t="shared" si="30"/>
        <v>3306</v>
      </c>
    </row>
    <row r="294" spans="1:8" x14ac:dyDescent="0.25">
      <c r="B294" s="2" t="s">
        <v>476</v>
      </c>
      <c r="C294" s="10">
        <v>10920</v>
      </c>
      <c r="D294" s="10">
        <v>5</v>
      </c>
      <c r="E294" s="10">
        <f t="shared" si="28"/>
        <v>546</v>
      </c>
      <c r="F294" s="10">
        <f>4095+E294*2</f>
        <v>5187</v>
      </c>
      <c r="G294" s="4">
        <f t="shared" si="29"/>
        <v>5733</v>
      </c>
      <c r="H294" s="4">
        <f t="shared" si="30"/>
        <v>5187</v>
      </c>
    </row>
    <row r="295" spans="1:8" x14ac:dyDescent="0.25">
      <c r="B295" s="2" t="s">
        <v>477</v>
      </c>
      <c r="C295" s="10">
        <v>1467.79</v>
      </c>
      <c r="D295" s="10">
        <v>5</v>
      </c>
      <c r="E295" s="10">
        <f t="shared" si="28"/>
        <v>73.389499999999998</v>
      </c>
      <c r="F295" s="10">
        <f>550.42+E295*2</f>
        <v>697.19899999999996</v>
      </c>
      <c r="G295" s="4">
        <f t="shared" si="29"/>
        <v>770.58849999999995</v>
      </c>
      <c r="H295" s="4">
        <f t="shared" si="30"/>
        <v>697.20150000000001</v>
      </c>
    </row>
    <row r="296" spans="1:8" x14ac:dyDescent="0.25">
      <c r="B296" s="2" t="s">
        <v>322</v>
      </c>
    </row>
    <row r="297" spans="1:8" x14ac:dyDescent="0.25">
      <c r="B297" s="2" t="s">
        <v>323</v>
      </c>
      <c r="C297" s="10">
        <v>992.4</v>
      </c>
      <c r="D297" s="10">
        <v>5</v>
      </c>
      <c r="E297" s="10">
        <f>C297*D297/100</f>
        <v>49.62</v>
      </c>
      <c r="F297" s="10">
        <f>248.1+E297*2</f>
        <v>347.34</v>
      </c>
      <c r="G297" s="10">
        <f>E297+F297</f>
        <v>396.96</v>
      </c>
      <c r="H297" s="10">
        <f>C297-G297</f>
        <v>595.44000000000005</v>
      </c>
    </row>
    <row r="298" spans="1:8" x14ac:dyDescent="0.25">
      <c r="B298" s="2" t="s">
        <v>358</v>
      </c>
      <c r="C298" s="10"/>
      <c r="D298" s="10"/>
      <c r="E298" s="10"/>
      <c r="F298" s="10"/>
      <c r="G298" s="10"/>
      <c r="H298" s="10"/>
    </row>
    <row r="299" spans="1:8" x14ac:dyDescent="0.25">
      <c r="B299" s="2" t="s">
        <v>360</v>
      </c>
      <c r="C299" s="10">
        <v>660</v>
      </c>
      <c r="D299" s="10">
        <v>5</v>
      </c>
      <c r="E299" s="10">
        <f>C299*D299/100</f>
        <v>33</v>
      </c>
      <c r="F299" s="10">
        <f>99+E299*2</f>
        <v>165</v>
      </c>
      <c r="G299" s="10">
        <f>E299+F299</f>
        <v>198</v>
      </c>
      <c r="H299" s="10">
        <f>C299-G299</f>
        <v>462</v>
      </c>
    </row>
    <row r="300" spans="1:8" x14ac:dyDescent="0.25">
      <c r="B300" s="2" t="s">
        <v>359</v>
      </c>
      <c r="C300" s="10">
        <v>3780</v>
      </c>
      <c r="D300" s="10">
        <v>5</v>
      </c>
      <c r="E300" s="10">
        <f>C300*D300/100</f>
        <v>189</v>
      </c>
      <c r="F300" s="10">
        <f>567+E300*2</f>
        <v>945</v>
      </c>
      <c r="G300" s="10">
        <f>E300+F300</f>
        <v>1134</v>
      </c>
      <c r="H300" s="10">
        <f>C300-G300</f>
        <v>2646</v>
      </c>
    </row>
    <row r="301" spans="1:8" x14ac:dyDescent="0.25">
      <c r="B301" s="2" t="s">
        <v>361</v>
      </c>
      <c r="C301" s="12">
        <v>360</v>
      </c>
      <c r="D301" s="12">
        <v>5</v>
      </c>
      <c r="E301" s="12">
        <f>C301*D301/100</f>
        <v>18</v>
      </c>
      <c r="F301" s="12">
        <f>54+E301*2</f>
        <v>90</v>
      </c>
      <c r="G301" s="12">
        <f>E301+F301</f>
        <v>108</v>
      </c>
      <c r="H301" s="12">
        <f>C301-G301</f>
        <v>252</v>
      </c>
    </row>
    <row r="302" spans="1:8" x14ac:dyDescent="0.25">
      <c r="A302" s="5" t="s">
        <v>42</v>
      </c>
      <c r="B302" s="2" t="s">
        <v>183</v>
      </c>
      <c r="C302" s="4">
        <f>SUM(C284:C301)</f>
        <v>3971459.9000000013</v>
      </c>
      <c r="E302" s="4">
        <f>SUM(E284:E301)</f>
        <v>124237.25299999998</v>
      </c>
      <c r="F302" s="4">
        <f>SUM(F284:F301)</f>
        <v>2602784.2959999987</v>
      </c>
      <c r="G302" s="4">
        <f>SUM(G284:G301)</f>
        <v>2700021.5489999992</v>
      </c>
      <c r="H302" s="4">
        <f>SUM(H284:H301)</f>
        <v>1271438.351</v>
      </c>
    </row>
    <row r="304" spans="1:8" x14ac:dyDescent="0.25">
      <c r="B304" s="5" t="s">
        <v>50</v>
      </c>
      <c r="C304" s="4"/>
      <c r="E304" s="4"/>
      <c r="F304" s="4"/>
      <c r="G304" s="4"/>
      <c r="H304" s="4"/>
    </row>
    <row r="305" spans="2:8" x14ac:dyDescent="0.25">
      <c r="B305" s="5" t="s">
        <v>45</v>
      </c>
      <c r="C305" s="4">
        <v>16919.13</v>
      </c>
      <c r="D305" s="4">
        <v>5</v>
      </c>
      <c r="E305" s="4">
        <f>C305*D305/100</f>
        <v>845.95650000000012</v>
      </c>
      <c r="F305" s="4">
        <f>9305.54+E305*2</f>
        <v>10997.453000000001</v>
      </c>
      <c r="G305" s="4">
        <f>E305+F305</f>
        <v>11843.409500000002</v>
      </c>
      <c r="H305" s="4">
        <f>C305-G305</f>
        <v>5075.7204999999994</v>
      </c>
    </row>
    <row r="306" spans="2:8" x14ac:dyDescent="0.25">
      <c r="B306" s="5" t="s">
        <v>43</v>
      </c>
      <c r="C306" s="4">
        <v>185.92</v>
      </c>
      <c r="D306" s="4">
        <v>5</v>
      </c>
      <c r="E306" s="4">
        <f>C306*D306/100</f>
        <v>9.2959999999999994</v>
      </c>
      <c r="F306" s="4">
        <f>102.28+E306*2</f>
        <v>120.872</v>
      </c>
      <c r="G306" s="4">
        <f>E306+F306</f>
        <v>130.16800000000001</v>
      </c>
      <c r="H306" s="4">
        <f>C306-G306</f>
        <v>55.751999999999981</v>
      </c>
    </row>
    <row r="307" spans="2:8" x14ac:dyDescent="0.25">
      <c r="B307" s="5" t="s">
        <v>44</v>
      </c>
      <c r="C307" s="4">
        <v>28551.43</v>
      </c>
      <c r="D307" s="4">
        <v>5</v>
      </c>
      <c r="E307" s="4">
        <f>C307*D307/100</f>
        <v>1427.5715</v>
      </c>
      <c r="F307" s="4">
        <f>15703.29+E307*2</f>
        <v>18558.433000000001</v>
      </c>
      <c r="G307" s="4">
        <f>E307+F307</f>
        <v>19986.004500000003</v>
      </c>
      <c r="H307" s="4">
        <f>C307-G307</f>
        <v>8565.4254999999976</v>
      </c>
    </row>
    <row r="308" spans="2:8" x14ac:dyDescent="0.25">
      <c r="B308" s="5" t="s">
        <v>46</v>
      </c>
      <c r="C308" s="4">
        <v>1502.89</v>
      </c>
      <c r="D308" s="4">
        <v>5</v>
      </c>
      <c r="E308" s="4">
        <f>C308*D308/100</f>
        <v>75.144500000000008</v>
      </c>
      <c r="F308" s="4">
        <f>826.56+E308*2</f>
        <v>976.84899999999993</v>
      </c>
      <c r="G308" s="4">
        <f>E308+F308</f>
        <v>1051.9935</v>
      </c>
      <c r="H308" s="4">
        <f>C308-G308</f>
        <v>450.89650000000006</v>
      </c>
    </row>
    <row r="309" spans="2:8" x14ac:dyDescent="0.25">
      <c r="B309" s="5" t="s">
        <v>47</v>
      </c>
      <c r="C309" s="4">
        <v>999.94</v>
      </c>
      <c r="D309" s="4">
        <v>5</v>
      </c>
      <c r="E309" s="4">
        <f>C309*D309/100</f>
        <v>49.997000000000007</v>
      </c>
      <c r="F309" s="4">
        <f>549.98+E309*2</f>
        <v>649.97400000000005</v>
      </c>
      <c r="G309" s="4">
        <f>E309+F309</f>
        <v>699.971</v>
      </c>
      <c r="H309" s="4">
        <f>C309-G309</f>
        <v>299.96900000000005</v>
      </c>
    </row>
    <row r="310" spans="2:8" x14ac:dyDescent="0.25">
      <c r="B310" s="5" t="s">
        <v>48</v>
      </c>
      <c r="C310" s="4"/>
      <c r="D310" s="4"/>
      <c r="E310" s="4"/>
      <c r="F310" s="4"/>
      <c r="G310" s="4"/>
      <c r="H310" s="4"/>
    </row>
    <row r="311" spans="2:8" x14ac:dyDescent="0.25">
      <c r="B311" s="5" t="s">
        <v>70</v>
      </c>
      <c r="C311" s="4">
        <v>2656.4</v>
      </c>
      <c r="D311" s="4">
        <v>5</v>
      </c>
      <c r="E311" s="4">
        <f>C311*D311/100</f>
        <v>132.82</v>
      </c>
      <c r="F311" s="4">
        <f>1461.02+E311*2</f>
        <v>1726.6599999999999</v>
      </c>
      <c r="G311" s="4">
        <f>E311+F311</f>
        <v>1859.4799999999998</v>
      </c>
      <c r="H311" s="4">
        <f>C311-G311</f>
        <v>796.9200000000003</v>
      </c>
    </row>
    <row r="312" spans="2:8" x14ac:dyDescent="0.25">
      <c r="B312" s="5" t="s">
        <v>71</v>
      </c>
      <c r="C312" s="4">
        <v>810</v>
      </c>
      <c r="D312" s="4">
        <v>5</v>
      </c>
      <c r="E312" s="4">
        <f>C312*D312/100</f>
        <v>40.5</v>
      </c>
      <c r="F312" s="4">
        <f>384.75+E312*2</f>
        <v>465.75</v>
      </c>
      <c r="G312" s="4">
        <f>E312+F312</f>
        <v>506.25</v>
      </c>
      <c r="H312" s="4">
        <f>C312-G312</f>
        <v>303.75</v>
      </c>
    </row>
    <row r="313" spans="2:8" x14ac:dyDescent="0.25">
      <c r="B313" s="5" t="s">
        <v>72</v>
      </c>
      <c r="C313" s="4">
        <v>27129.41</v>
      </c>
      <c r="D313" s="4">
        <v>5</v>
      </c>
      <c r="E313" s="4">
        <f>C313*D313/100</f>
        <v>1356.4704999999999</v>
      </c>
      <c r="F313" s="4">
        <f>12886.47+E313*2</f>
        <v>15599.411</v>
      </c>
      <c r="G313" s="4">
        <f>E313+F313</f>
        <v>16955.8815</v>
      </c>
      <c r="H313" s="4">
        <f>C313-G313</f>
        <v>10173.5285</v>
      </c>
    </row>
    <row r="314" spans="2:8" x14ac:dyDescent="0.25">
      <c r="B314" s="5" t="s">
        <v>73</v>
      </c>
      <c r="C314" s="4">
        <v>10800</v>
      </c>
      <c r="D314" s="4">
        <v>5</v>
      </c>
      <c r="E314" s="4">
        <f>C314*D314/100</f>
        <v>540</v>
      </c>
      <c r="F314" s="4">
        <f>5130+E314*2</f>
        <v>6210</v>
      </c>
      <c r="G314" s="4">
        <f>E314+F314</f>
        <v>6750</v>
      </c>
      <c r="H314" s="4">
        <f>C314-G314</f>
        <v>4050</v>
      </c>
    </row>
    <row r="315" spans="2:8" x14ac:dyDescent="0.25">
      <c r="B315" s="5" t="s">
        <v>74</v>
      </c>
      <c r="C315" s="4">
        <v>1020.79</v>
      </c>
      <c r="D315" s="4">
        <v>5</v>
      </c>
      <c r="E315" s="4">
        <f>C315*D315/100</f>
        <v>51.039499999999997</v>
      </c>
      <c r="F315" s="4">
        <f>484.88+E315*2</f>
        <v>586.95899999999995</v>
      </c>
      <c r="G315" s="4">
        <f>E315+F315</f>
        <v>637.99849999999992</v>
      </c>
      <c r="H315" s="4">
        <f>C315-G315</f>
        <v>382.79150000000004</v>
      </c>
    </row>
    <row r="316" spans="2:8" x14ac:dyDescent="0.25">
      <c r="B316" s="5" t="s">
        <v>49</v>
      </c>
      <c r="C316" s="4"/>
      <c r="D316" s="4"/>
      <c r="E316" s="4"/>
      <c r="F316" s="4"/>
      <c r="G316" s="4"/>
      <c r="H316" s="4"/>
    </row>
    <row r="317" spans="2:8" x14ac:dyDescent="0.25">
      <c r="B317" s="5" t="s">
        <v>75</v>
      </c>
      <c r="C317" s="4">
        <v>2161.5</v>
      </c>
      <c r="D317" s="4">
        <v>5</v>
      </c>
      <c r="E317" s="4">
        <v>108.07</v>
      </c>
      <c r="F317" s="4">
        <f>810.51+E317*2</f>
        <v>1026.6500000000001</v>
      </c>
      <c r="G317" s="4">
        <f>E317+F317</f>
        <v>1134.72</v>
      </c>
      <c r="H317" s="4">
        <f>C317-G317</f>
        <v>1026.78</v>
      </c>
    </row>
    <row r="318" spans="2:8" x14ac:dyDescent="0.25">
      <c r="B318" s="5" t="s">
        <v>78</v>
      </c>
      <c r="C318" s="4">
        <v>12960</v>
      </c>
      <c r="D318" s="4">
        <v>5</v>
      </c>
      <c r="E318" s="4">
        <f>C318*D318/100</f>
        <v>648</v>
      </c>
      <c r="F318" s="4">
        <f>4860+E318*2</f>
        <v>6156</v>
      </c>
      <c r="G318" s="4">
        <f>E318+F318</f>
        <v>6804</v>
      </c>
      <c r="H318" s="4">
        <f>C318-G318</f>
        <v>6156</v>
      </c>
    </row>
    <row r="319" spans="2:8" x14ac:dyDescent="0.25">
      <c r="B319" s="5" t="s">
        <v>79</v>
      </c>
      <c r="C319" s="4">
        <v>7200</v>
      </c>
      <c r="D319" s="4">
        <v>5</v>
      </c>
      <c r="E319" s="4">
        <f>C319*D319/100</f>
        <v>360</v>
      </c>
      <c r="F319" s="4">
        <f>2700+E319*2</f>
        <v>3420</v>
      </c>
      <c r="G319" s="4">
        <f>E319+F319</f>
        <v>3780</v>
      </c>
      <c r="H319" s="4">
        <f>C319-G319</f>
        <v>3420</v>
      </c>
    </row>
    <row r="320" spans="2:8" x14ac:dyDescent="0.25">
      <c r="B320" s="5" t="s">
        <v>80</v>
      </c>
      <c r="C320" s="4">
        <v>34640.21</v>
      </c>
      <c r="D320" s="4">
        <v>5</v>
      </c>
      <c r="E320" s="4">
        <v>1732.04</v>
      </c>
      <c r="F320" s="4">
        <f>12990.22+E320*2</f>
        <v>16454.3</v>
      </c>
      <c r="G320" s="4">
        <f>E320+F320</f>
        <v>18186.34</v>
      </c>
      <c r="H320" s="4">
        <f>C320-G320</f>
        <v>16453.87</v>
      </c>
    </row>
    <row r="321" spans="2:8" x14ac:dyDescent="0.25">
      <c r="B321" s="5" t="s">
        <v>81</v>
      </c>
      <c r="C321" s="12">
        <v>2067.9</v>
      </c>
      <c r="D321" s="12">
        <v>5</v>
      </c>
      <c r="E321" s="12">
        <f>ROUND(C321*D321/100,2)</f>
        <v>103.4</v>
      </c>
      <c r="F321" s="12">
        <f>775.5+E321*2</f>
        <v>982.3</v>
      </c>
      <c r="G321" s="12">
        <f>E321+F321</f>
        <v>1085.7</v>
      </c>
      <c r="H321" s="12">
        <f>C321-G321</f>
        <v>982.2</v>
      </c>
    </row>
    <row r="322" spans="2:8" x14ac:dyDescent="0.25">
      <c r="B322" s="5" t="s">
        <v>204</v>
      </c>
      <c r="C322" s="4">
        <f>SUM(C305:C321)</f>
        <v>149605.51999999999</v>
      </c>
      <c r="E322" s="4">
        <f>SUM(E305:E321)</f>
        <v>7480.3054999999986</v>
      </c>
      <c r="F322" s="4">
        <f>SUM(F305:F321)</f>
        <v>83931.611000000004</v>
      </c>
      <c r="G322" s="4">
        <f>SUM(G305:G321)</f>
        <v>91411.916499999992</v>
      </c>
      <c r="H322" s="4">
        <f>SUM(H305:H321)</f>
        <v>58193.603499999997</v>
      </c>
    </row>
    <row r="324" spans="2:8" x14ac:dyDescent="0.25">
      <c r="B324" s="5" t="s">
        <v>242</v>
      </c>
      <c r="C324" s="4"/>
      <c r="E324" s="4"/>
      <c r="F324" s="4"/>
      <c r="G324" s="4"/>
      <c r="H324" s="4"/>
    </row>
    <row r="325" spans="2:8" x14ac:dyDescent="0.25">
      <c r="B325" s="5" t="s">
        <v>125</v>
      </c>
      <c r="C325" s="4">
        <v>1234.01</v>
      </c>
      <c r="D325" s="4">
        <v>5</v>
      </c>
      <c r="E325" s="4">
        <f>ROUND(C325*D325/100,2)</f>
        <v>61.7</v>
      </c>
      <c r="F325" s="4">
        <f>462.75+E325*2</f>
        <v>586.15</v>
      </c>
      <c r="G325" s="4">
        <f>E325+F325</f>
        <v>647.85</v>
      </c>
      <c r="H325" s="4">
        <f>C325-G325</f>
        <v>586.16</v>
      </c>
    </row>
    <row r="326" spans="2:8" x14ac:dyDescent="0.25">
      <c r="B326" s="5" t="s">
        <v>126</v>
      </c>
      <c r="C326" s="4">
        <v>1010.4</v>
      </c>
      <c r="D326" s="4">
        <v>5</v>
      </c>
      <c r="E326" s="4">
        <f>ROUND(C326*D326/100,2)</f>
        <v>50.52</v>
      </c>
      <c r="F326" s="4">
        <f>378.9+E326*2</f>
        <v>479.94</v>
      </c>
      <c r="G326" s="4">
        <f>E326+F326</f>
        <v>530.46</v>
      </c>
      <c r="H326" s="4">
        <f>C326-G326</f>
        <v>479.93999999999994</v>
      </c>
    </row>
    <row r="327" spans="2:8" x14ac:dyDescent="0.25">
      <c r="B327" s="5" t="s">
        <v>41</v>
      </c>
      <c r="C327" s="12">
        <v>1257.5999999999999</v>
      </c>
      <c r="D327" s="12">
        <v>5</v>
      </c>
      <c r="E327" s="12">
        <f>ROUND(C327*D327/100,2)</f>
        <v>62.88</v>
      </c>
      <c r="F327" s="12">
        <f>471.6+E327*2</f>
        <v>597.36</v>
      </c>
      <c r="G327" s="12">
        <f>E327+F327</f>
        <v>660.24</v>
      </c>
      <c r="H327" s="12">
        <f>C327-G327</f>
        <v>597.3599999999999</v>
      </c>
    </row>
    <row r="328" spans="2:8" x14ac:dyDescent="0.25">
      <c r="B328" s="5" t="s">
        <v>425</v>
      </c>
      <c r="C328" s="4">
        <f>SUM(C325:C327)</f>
        <v>3502.0099999999998</v>
      </c>
      <c r="E328" s="4">
        <f>SUM(E325:E327)</f>
        <v>175.1</v>
      </c>
      <c r="F328" s="4">
        <f>SUM(F325:F327)</f>
        <v>1663.4499999999998</v>
      </c>
      <c r="G328" s="4">
        <f>SUM(G325:G327)</f>
        <v>1838.55</v>
      </c>
      <c r="H328" s="4">
        <f>SUM(H325:H327)</f>
        <v>1663.4599999999998</v>
      </c>
    </row>
    <row r="337" spans="2:8" x14ac:dyDescent="0.25">
      <c r="B337" s="5" t="s">
        <v>217</v>
      </c>
      <c r="C337" s="4" t="s">
        <v>216</v>
      </c>
      <c r="E337" s="15"/>
      <c r="F337" s="16"/>
    </row>
    <row r="338" spans="2:8" x14ac:dyDescent="0.25">
      <c r="B338" s="5" t="s">
        <v>561</v>
      </c>
      <c r="C338" s="4"/>
      <c r="D338" s="4"/>
      <c r="E338" s="4"/>
      <c r="F338" s="4"/>
      <c r="G338" s="4"/>
      <c r="H338" s="4"/>
    </row>
    <row r="339" spans="2:8" x14ac:dyDescent="0.25">
      <c r="B339" s="5" t="s">
        <v>327</v>
      </c>
      <c r="C339" s="5" t="s">
        <v>9</v>
      </c>
      <c r="D339" s="5" t="s">
        <v>10</v>
      </c>
      <c r="E339" s="5" t="s">
        <v>1</v>
      </c>
      <c r="F339" s="5" t="s">
        <v>2</v>
      </c>
      <c r="G339" s="5" t="s">
        <v>3</v>
      </c>
      <c r="H339" s="5" t="s">
        <v>5</v>
      </c>
    </row>
    <row r="340" spans="2:8" x14ac:dyDescent="0.25">
      <c r="B340" s="5" t="s">
        <v>426</v>
      </c>
      <c r="C340" s="4">
        <f>C328</f>
        <v>3502.0099999999998</v>
      </c>
      <c r="E340" s="4">
        <f>E328</f>
        <v>175.1</v>
      </c>
      <c r="F340" s="4">
        <f>F328</f>
        <v>1663.4499999999998</v>
      </c>
      <c r="G340" s="4">
        <f>G328</f>
        <v>1838.55</v>
      </c>
      <c r="H340" s="4">
        <f>H328</f>
        <v>1663.4599999999998</v>
      </c>
    </row>
    <row r="341" spans="2:8" x14ac:dyDescent="0.25">
      <c r="B341" s="5" t="s">
        <v>236</v>
      </c>
      <c r="C341" s="4"/>
      <c r="D341" s="4"/>
      <c r="E341" s="4"/>
      <c r="F341" s="4"/>
      <c r="G341" s="4"/>
      <c r="H341" s="4"/>
    </row>
    <row r="342" spans="2:8" x14ac:dyDescent="0.25">
      <c r="B342" s="5" t="s">
        <v>127</v>
      </c>
      <c r="C342" s="4">
        <v>912.98</v>
      </c>
      <c r="D342" s="4">
        <v>5</v>
      </c>
      <c r="E342" s="4">
        <f>ROUND(C342*D342/100,2)</f>
        <v>45.65</v>
      </c>
      <c r="F342" s="4">
        <f>342.37+E342*2</f>
        <v>433.67</v>
      </c>
      <c r="G342" s="4">
        <f>E342+F342</f>
        <v>479.32</v>
      </c>
      <c r="H342" s="4">
        <f>C342-G342</f>
        <v>433.66</v>
      </c>
    </row>
    <row r="343" spans="2:8" x14ac:dyDescent="0.25">
      <c r="B343" s="5" t="s">
        <v>128</v>
      </c>
      <c r="C343" s="4">
        <v>866.4</v>
      </c>
      <c r="D343" s="4">
        <v>5</v>
      </c>
      <c r="E343" s="4">
        <f>ROUND(C343*D343/100,2)</f>
        <v>43.32</v>
      </c>
      <c r="F343" s="4">
        <f>324.9+E343*2</f>
        <v>411.53999999999996</v>
      </c>
      <c r="G343" s="4">
        <f>E343+F343</f>
        <v>454.85999999999996</v>
      </c>
      <c r="H343" s="4">
        <f>C343-G343</f>
        <v>411.54</v>
      </c>
    </row>
    <row r="344" spans="2:8" x14ac:dyDescent="0.25">
      <c r="B344" s="5" t="s">
        <v>246</v>
      </c>
      <c r="C344" s="4"/>
      <c r="D344" s="4"/>
      <c r="E344" s="4"/>
      <c r="F344" s="4"/>
      <c r="G344" s="4"/>
    </row>
    <row r="345" spans="2:8" x14ac:dyDescent="0.25">
      <c r="B345" s="5" t="s">
        <v>129</v>
      </c>
      <c r="C345" s="4">
        <v>880.8</v>
      </c>
      <c r="D345" s="4">
        <v>5</v>
      </c>
      <c r="E345" s="4">
        <f>ROUND(C345*D345/100,2)</f>
        <v>44.04</v>
      </c>
      <c r="F345" s="4">
        <f>286.26+E345*2</f>
        <v>374.34</v>
      </c>
      <c r="G345" s="4">
        <f>E345+F345</f>
        <v>418.38</v>
      </c>
      <c r="H345" s="4">
        <f>C345-G345</f>
        <v>462.41999999999996</v>
      </c>
    </row>
    <row r="346" spans="2:8" x14ac:dyDescent="0.25">
      <c r="B346" s="5" t="s">
        <v>130</v>
      </c>
      <c r="C346" s="4">
        <v>600</v>
      </c>
      <c r="D346" s="4">
        <v>5</v>
      </c>
      <c r="E346" s="4">
        <f>ROUND(C346*D346/100,2)</f>
        <v>30</v>
      </c>
      <c r="F346" s="4">
        <f>195+E346*2</f>
        <v>255</v>
      </c>
      <c r="G346" s="4">
        <f>E346+F346</f>
        <v>285</v>
      </c>
      <c r="H346" s="4">
        <f>C346-G346</f>
        <v>315</v>
      </c>
    </row>
    <row r="347" spans="2:8" x14ac:dyDescent="0.25">
      <c r="B347" s="5" t="s">
        <v>131</v>
      </c>
      <c r="D347" s="4"/>
      <c r="E347" s="4"/>
      <c r="F347" s="4"/>
      <c r="G347" s="4"/>
      <c r="H347" s="4"/>
    </row>
    <row r="348" spans="2:8" x14ac:dyDescent="0.25">
      <c r="B348" s="5" t="s">
        <v>129</v>
      </c>
      <c r="C348" s="4">
        <v>880.8</v>
      </c>
      <c r="D348" s="4">
        <v>5</v>
      </c>
      <c r="E348" s="4">
        <f>ROUND(C348*D348/100,2)</f>
        <v>44.04</v>
      </c>
      <c r="F348" s="4">
        <f>286.26+E348*2</f>
        <v>374.34</v>
      </c>
      <c r="G348" s="4">
        <f>E348+F348</f>
        <v>418.38</v>
      </c>
      <c r="H348" s="4">
        <f>C348-G348</f>
        <v>462.41999999999996</v>
      </c>
    </row>
    <row r="349" spans="2:8" x14ac:dyDescent="0.25">
      <c r="B349" s="5" t="s">
        <v>132</v>
      </c>
      <c r="C349" s="4">
        <v>600</v>
      </c>
      <c r="D349" s="4">
        <v>5</v>
      </c>
      <c r="E349" s="4">
        <f>ROUND(C349*D349/100,2)</f>
        <v>30</v>
      </c>
      <c r="F349" s="4">
        <f>195+E349*2</f>
        <v>255</v>
      </c>
      <c r="G349" s="4">
        <f>E349+F349</f>
        <v>285</v>
      </c>
      <c r="H349" s="4">
        <f>C349-G349</f>
        <v>315</v>
      </c>
    </row>
    <row r="350" spans="2:8" x14ac:dyDescent="0.25">
      <c r="B350" s="5" t="s">
        <v>432</v>
      </c>
      <c r="C350" s="4"/>
      <c r="D350" s="4"/>
      <c r="E350" s="4"/>
      <c r="F350" s="4"/>
      <c r="G350" s="4"/>
      <c r="H350" s="4"/>
    </row>
    <row r="351" spans="2:8" x14ac:dyDescent="0.25">
      <c r="B351" s="5" t="s">
        <v>163</v>
      </c>
      <c r="C351" s="4">
        <v>1126.8</v>
      </c>
      <c r="D351" s="4">
        <v>5</v>
      </c>
      <c r="E351" s="4">
        <f>ROUND(C351*D351/100,2)</f>
        <v>56.34</v>
      </c>
      <c r="F351" s="4">
        <f>394.38+E351*2</f>
        <v>507.06</v>
      </c>
      <c r="G351" s="4">
        <f>E351+F351</f>
        <v>563.4</v>
      </c>
      <c r="H351" s="4">
        <f>C351-G351</f>
        <v>563.4</v>
      </c>
    </row>
    <row r="352" spans="2:8" x14ac:dyDescent="0.25">
      <c r="B352" s="5" t="s">
        <v>328</v>
      </c>
      <c r="C352" s="4">
        <v>1500</v>
      </c>
      <c r="D352" s="4">
        <v>5</v>
      </c>
      <c r="E352" s="4">
        <f>ROUND(C352*D352/100,2)</f>
        <v>75</v>
      </c>
      <c r="F352" s="4">
        <f>525+E352*2</f>
        <v>675</v>
      </c>
      <c r="G352" s="4">
        <f>E352+F352</f>
        <v>750</v>
      </c>
      <c r="H352" s="4">
        <f>C352-G352</f>
        <v>750</v>
      </c>
    </row>
    <row r="353" spans="2:10" x14ac:dyDescent="0.25">
      <c r="B353" s="5" t="s">
        <v>329</v>
      </c>
      <c r="C353" s="4">
        <v>-450</v>
      </c>
      <c r="D353" s="4">
        <v>5</v>
      </c>
      <c r="E353" s="4">
        <f>ROUND(C353*D353/100,2)</f>
        <v>-22.5</v>
      </c>
      <c r="F353" s="4">
        <f>-157.5+E353*2</f>
        <v>-202.5</v>
      </c>
      <c r="G353" s="4">
        <f>E353+F353</f>
        <v>-225</v>
      </c>
      <c r="H353" s="4">
        <f>C353-G353</f>
        <v>-225</v>
      </c>
    </row>
    <row r="354" spans="2:10" x14ac:dyDescent="0.25">
      <c r="B354" s="5" t="s">
        <v>427</v>
      </c>
      <c r="C354" s="4">
        <v>-2176.8000000000002</v>
      </c>
      <c r="D354" s="4">
        <v>5</v>
      </c>
      <c r="E354" s="4">
        <f>ROUND(C354*D354/100,2)</f>
        <v>-108.84</v>
      </c>
      <c r="F354" s="4">
        <f>-761.88+E354*2</f>
        <v>-979.56</v>
      </c>
      <c r="G354" s="4">
        <f>E354+F354</f>
        <v>-1088.3999999999999</v>
      </c>
      <c r="H354" s="4">
        <f>C354-G354</f>
        <v>-1088.4000000000003</v>
      </c>
    </row>
    <row r="355" spans="2:10" x14ac:dyDescent="0.25">
      <c r="B355" s="5" t="s">
        <v>164</v>
      </c>
      <c r="C355" s="4"/>
      <c r="D355" s="4"/>
      <c r="E355" s="4"/>
      <c r="F355" s="4"/>
      <c r="G355" s="4"/>
      <c r="H355" s="4"/>
    </row>
    <row r="356" spans="2:10" x14ac:dyDescent="0.25">
      <c r="B356" s="5" t="s">
        <v>163</v>
      </c>
      <c r="C356" s="4">
        <v>918.82</v>
      </c>
      <c r="D356" s="4">
        <v>5</v>
      </c>
      <c r="E356" s="4">
        <f>C356*D356/100</f>
        <v>45.941000000000003</v>
      </c>
      <c r="F356" s="4">
        <f>321.58+E356*2</f>
        <v>413.46199999999999</v>
      </c>
      <c r="G356" s="4">
        <f>E356+F356</f>
        <v>459.40300000000002</v>
      </c>
      <c r="H356" s="4">
        <f>C356-G356</f>
        <v>459.41700000000003</v>
      </c>
    </row>
    <row r="357" spans="2:10" x14ac:dyDescent="0.25">
      <c r="B357" s="5" t="s">
        <v>165</v>
      </c>
      <c r="C357" s="4">
        <v>600</v>
      </c>
      <c r="D357" s="4">
        <v>5</v>
      </c>
      <c r="E357" s="4">
        <f>C357*D357/100</f>
        <v>30</v>
      </c>
      <c r="F357" s="4">
        <f>210+E357*2</f>
        <v>270</v>
      </c>
      <c r="G357" s="4">
        <f>E357+F357</f>
        <v>300</v>
      </c>
      <c r="H357" s="4">
        <f>C357-G357</f>
        <v>300</v>
      </c>
    </row>
    <row r="358" spans="2:10" x14ac:dyDescent="0.25">
      <c r="B358" s="5" t="s">
        <v>290</v>
      </c>
      <c r="C358" s="10"/>
      <c r="D358" s="10"/>
      <c r="E358" s="10"/>
      <c r="F358" s="10"/>
      <c r="G358" s="10"/>
      <c r="H358" s="10"/>
    </row>
    <row r="359" spans="2:10" x14ac:dyDescent="0.25">
      <c r="B359" s="5" t="s">
        <v>75</v>
      </c>
      <c r="C359" s="4">
        <v>2161.5</v>
      </c>
      <c r="D359" s="4">
        <v>5</v>
      </c>
      <c r="E359" s="4">
        <v>108.07</v>
      </c>
      <c r="F359" s="4">
        <f>810.53+E359*2</f>
        <v>1026.67</v>
      </c>
      <c r="G359" s="4">
        <f t="shared" ref="G359:G368" si="31">E359+F359</f>
        <v>1134.74</v>
      </c>
      <c r="H359" s="4">
        <f t="shared" ref="H359:H368" si="32">C359-G359</f>
        <v>1026.76</v>
      </c>
    </row>
    <row r="360" spans="2:10" x14ac:dyDescent="0.25">
      <c r="B360" s="5" t="s">
        <v>305</v>
      </c>
      <c r="C360" s="4">
        <v>-540</v>
      </c>
      <c r="D360" s="4">
        <v>5</v>
      </c>
      <c r="E360" s="4">
        <v>-27</v>
      </c>
      <c r="F360" s="4">
        <f>-202.5+E360*2</f>
        <v>-256.5</v>
      </c>
      <c r="G360" s="4">
        <f t="shared" si="31"/>
        <v>-283.5</v>
      </c>
      <c r="H360" s="4">
        <f t="shared" si="32"/>
        <v>-256.5</v>
      </c>
    </row>
    <row r="361" spans="2:10" x14ac:dyDescent="0.25">
      <c r="B361" s="5" t="s">
        <v>305</v>
      </c>
      <c r="C361" s="4">
        <v>-540</v>
      </c>
      <c r="D361" s="4">
        <v>5</v>
      </c>
      <c r="E361" s="4">
        <f>C361*D361/100</f>
        <v>-27</v>
      </c>
      <c r="F361" s="4">
        <f>-202.5+E361*2</f>
        <v>-256.5</v>
      </c>
      <c r="G361" s="4">
        <f t="shared" si="31"/>
        <v>-283.5</v>
      </c>
      <c r="H361" s="4">
        <f t="shared" si="32"/>
        <v>-256.5</v>
      </c>
    </row>
    <row r="362" spans="2:10" x14ac:dyDescent="0.25">
      <c r="B362" s="5" t="s">
        <v>224</v>
      </c>
      <c r="C362" s="4">
        <v>10920</v>
      </c>
      <c r="D362" s="4">
        <v>5</v>
      </c>
      <c r="E362" s="4">
        <f>C362*D362/100</f>
        <v>546</v>
      </c>
      <c r="F362" s="4">
        <f>4095+E362*2</f>
        <v>5187</v>
      </c>
      <c r="G362" s="4">
        <f t="shared" si="31"/>
        <v>5733</v>
      </c>
      <c r="H362" s="4">
        <f t="shared" si="32"/>
        <v>5187</v>
      </c>
    </row>
    <row r="363" spans="2:10" x14ac:dyDescent="0.25">
      <c r="B363" s="5" t="s">
        <v>478</v>
      </c>
      <c r="C363" s="4">
        <v>-10920</v>
      </c>
      <c r="D363" s="4">
        <v>5</v>
      </c>
      <c r="E363" s="4">
        <f>C363*D363/100</f>
        <v>-546</v>
      </c>
      <c r="F363" s="4">
        <f>-4095+E363*2</f>
        <v>-5187</v>
      </c>
      <c r="G363" s="4">
        <f t="shared" si="31"/>
        <v>-5733</v>
      </c>
      <c r="H363" s="4">
        <f t="shared" si="32"/>
        <v>-5187</v>
      </c>
    </row>
    <row r="364" spans="2:10" x14ac:dyDescent="0.25">
      <c r="B364" s="5" t="s">
        <v>76</v>
      </c>
      <c r="C364" s="4">
        <v>34701.410000000003</v>
      </c>
      <c r="D364" s="4">
        <v>5</v>
      </c>
      <c r="E364" s="4">
        <f>C364*D364/100</f>
        <v>1735.0705000000003</v>
      </c>
      <c r="F364" s="4">
        <f>13013.03+E364*2</f>
        <v>16483.171000000002</v>
      </c>
      <c r="G364" s="4">
        <f t="shared" si="31"/>
        <v>18218.241500000004</v>
      </c>
      <c r="H364" s="4">
        <f t="shared" si="32"/>
        <v>16483.1685</v>
      </c>
      <c r="J364" s="32"/>
    </row>
    <row r="365" spans="2:10" x14ac:dyDescent="0.25">
      <c r="B365" s="5" t="s">
        <v>306</v>
      </c>
      <c r="C365" s="4">
        <v>-8675.35</v>
      </c>
      <c r="D365" s="4">
        <v>5</v>
      </c>
      <c r="E365" s="5">
        <v>-433.77</v>
      </c>
      <c r="F365" s="4">
        <f>-3253.26+E365*2</f>
        <v>-4120.8</v>
      </c>
      <c r="G365" s="4">
        <f t="shared" si="31"/>
        <v>-4554.57</v>
      </c>
      <c r="H365" s="4">
        <f t="shared" si="32"/>
        <v>-4120.7800000000007</v>
      </c>
      <c r="J365" s="33"/>
    </row>
    <row r="366" spans="2:10" x14ac:dyDescent="0.25">
      <c r="B366" s="5" t="s">
        <v>479</v>
      </c>
      <c r="C366" s="4">
        <v>-26026.06</v>
      </c>
      <c r="D366" s="4">
        <v>5</v>
      </c>
      <c r="E366" s="4">
        <f>C366*D366/100</f>
        <v>-1301.3030000000001</v>
      </c>
      <c r="F366" s="4">
        <f>-9759.77+E366*2</f>
        <v>-12362.376</v>
      </c>
      <c r="G366" s="4">
        <f t="shared" si="31"/>
        <v>-13663.679</v>
      </c>
      <c r="H366" s="4">
        <f t="shared" si="32"/>
        <v>-12362.381000000001</v>
      </c>
      <c r="J366" s="34"/>
    </row>
    <row r="367" spans="2:10" x14ac:dyDescent="0.25">
      <c r="B367" s="5" t="s">
        <v>77</v>
      </c>
      <c r="C367" s="4">
        <v>1467.79</v>
      </c>
      <c r="D367" s="4">
        <v>5</v>
      </c>
      <c r="E367" s="4">
        <f>C367*D367/100</f>
        <v>73.389499999999998</v>
      </c>
      <c r="F367" s="4">
        <f>550.42+E367*2</f>
        <v>697.19899999999996</v>
      </c>
      <c r="G367" s="4">
        <f t="shared" si="31"/>
        <v>770.58849999999995</v>
      </c>
      <c r="H367" s="4">
        <f t="shared" si="32"/>
        <v>697.20150000000001</v>
      </c>
      <c r="J367" s="33"/>
    </row>
    <row r="368" spans="2:10" x14ac:dyDescent="0.25">
      <c r="B368" s="5" t="s">
        <v>480</v>
      </c>
      <c r="C368" s="4">
        <v>-1467.79</v>
      </c>
      <c r="D368" s="4">
        <v>5</v>
      </c>
      <c r="E368" s="4">
        <f>C368*D368/100</f>
        <v>-73.389499999999998</v>
      </c>
      <c r="F368" s="4">
        <f>-550.42+E368*2</f>
        <v>-697.19899999999996</v>
      </c>
      <c r="G368" s="4">
        <f t="shared" si="31"/>
        <v>-770.58849999999995</v>
      </c>
      <c r="H368" s="4">
        <f t="shared" si="32"/>
        <v>-697.20150000000001</v>
      </c>
    </row>
    <row r="369" spans="2:13" x14ac:dyDescent="0.25">
      <c r="B369" s="5" t="s">
        <v>185</v>
      </c>
      <c r="C369" s="10"/>
      <c r="D369" s="10"/>
      <c r="E369" s="10"/>
      <c r="F369" s="10"/>
      <c r="G369" s="10"/>
      <c r="H369" s="10"/>
    </row>
    <row r="370" spans="2:13" x14ac:dyDescent="0.25">
      <c r="B370" s="5" t="s">
        <v>166</v>
      </c>
      <c r="C370" s="10">
        <v>1169.74</v>
      </c>
      <c r="D370" s="10">
        <v>5</v>
      </c>
      <c r="E370" s="10">
        <f>ROUND(C370*D370/100,2)</f>
        <v>58.49</v>
      </c>
      <c r="F370" s="10">
        <f>409.42+E370*2</f>
        <v>526.4</v>
      </c>
      <c r="G370" s="10">
        <f>E370+F370</f>
        <v>584.89</v>
      </c>
      <c r="H370" s="10">
        <f>C370-G370</f>
        <v>584.85</v>
      </c>
      <c r="J370" s="35"/>
    </row>
    <row r="371" spans="2:13" x14ac:dyDescent="0.25">
      <c r="B371" s="5" t="s">
        <v>338</v>
      </c>
      <c r="C371" s="10">
        <v>541.26</v>
      </c>
      <c r="D371" s="10">
        <v>5</v>
      </c>
      <c r="E371" s="10">
        <f>ROUND(C371*D371/100,2)</f>
        <v>27.06</v>
      </c>
      <c r="F371" s="10">
        <f>108.24+E371*2</f>
        <v>162.35999999999999</v>
      </c>
      <c r="G371" s="10">
        <f>E371+F371</f>
        <v>189.42</v>
      </c>
      <c r="H371" s="10">
        <f>C371-G371</f>
        <v>351.84000000000003</v>
      </c>
      <c r="J371" s="35"/>
    </row>
    <row r="372" spans="2:13" x14ac:dyDescent="0.25">
      <c r="B372" s="5" t="s">
        <v>339</v>
      </c>
      <c r="C372" s="10">
        <v>10223.799999999999</v>
      </c>
      <c r="D372" s="10">
        <v>5</v>
      </c>
      <c r="E372" s="10">
        <f>ROUND(C372*D372/100,2)</f>
        <v>511.19</v>
      </c>
      <c r="F372" s="10">
        <f>2044.76+E372*2</f>
        <v>3067.14</v>
      </c>
      <c r="G372" s="10">
        <f>E372+F372</f>
        <v>3578.33</v>
      </c>
      <c r="H372" s="10">
        <f>C372-G372</f>
        <v>6645.4699999999993</v>
      </c>
      <c r="J372" s="35"/>
    </row>
    <row r="373" spans="2:13" x14ac:dyDescent="0.25">
      <c r="B373" s="5" t="s">
        <v>340</v>
      </c>
      <c r="C373" s="10">
        <v>-721.68</v>
      </c>
      <c r="D373" s="10">
        <v>5</v>
      </c>
      <c r="E373" s="5">
        <v>-36.08</v>
      </c>
      <c r="F373" s="10">
        <f>-144.32+E373*2</f>
        <v>-216.48</v>
      </c>
      <c r="G373" s="10">
        <f>E373+F373</f>
        <v>-252.56</v>
      </c>
      <c r="H373" s="10">
        <f>C373-G373</f>
        <v>-469.11999999999995</v>
      </c>
      <c r="J373" s="35"/>
    </row>
    <row r="374" spans="2:13" x14ac:dyDescent="0.25">
      <c r="B374" s="5" t="s">
        <v>184</v>
      </c>
      <c r="C374" s="10">
        <v>1428</v>
      </c>
      <c r="D374" s="10">
        <v>5</v>
      </c>
      <c r="E374" s="10">
        <f>ROUND(C374*D374/100,2)</f>
        <v>71.400000000000006</v>
      </c>
      <c r="F374" s="10">
        <f>285.6+E374*2</f>
        <v>428.40000000000003</v>
      </c>
      <c r="G374" s="10">
        <f>E374+F374</f>
        <v>499.80000000000007</v>
      </c>
      <c r="H374" s="10">
        <f>C374-G374</f>
        <v>928.19999999999993</v>
      </c>
      <c r="J374" s="35"/>
    </row>
    <row r="375" spans="2:13" x14ac:dyDescent="0.25">
      <c r="B375" s="5" t="s">
        <v>235</v>
      </c>
      <c r="C375" s="10"/>
      <c r="D375" s="10"/>
      <c r="E375" s="10"/>
      <c r="F375" s="10"/>
      <c r="G375" s="10"/>
      <c r="H375" s="10"/>
      <c r="J375" s="35"/>
    </row>
    <row r="376" spans="2:13" x14ac:dyDescent="0.25">
      <c r="B376" s="5" t="s">
        <v>335</v>
      </c>
      <c r="C376" s="10">
        <v>6840</v>
      </c>
      <c r="D376" s="10">
        <v>5</v>
      </c>
      <c r="E376" s="10">
        <f>C376*D376/100</f>
        <v>342</v>
      </c>
      <c r="F376" s="10">
        <f>1026+E376*2</f>
        <v>1710</v>
      </c>
      <c r="G376" s="10">
        <f>E376+F376</f>
        <v>2052</v>
      </c>
      <c r="H376" s="10">
        <f>C376-G376</f>
        <v>4788</v>
      </c>
      <c r="J376" s="35"/>
    </row>
    <row r="377" spans="2:13" x14ac:dyDescent="0.25">
      <c r="B377" s="5" t="s">
        <v>337</v>
      </c>
      <c r="C377" s="10">
        <v>780</v>
      </c>
      <c r="D377" s="10">
        <v>5</v>
      </c>
      <c r="E377" s="10">
        <f>C377*D377/100</f>
        <v>39</v>
      </c>
      <c r="F377" s="10">
        <f>117+E377*2</f>
        <v>195</v>
      </c>
      <c r="G377" s="10">
        <f>E377+F377</f>
        <v>234</v>
      </c>
      <c r="H377" s="10">
        <f>C377-G377</f>
        <v>546</v>
      </c>
      <c r="J377" s="35"/>
    </row>
    <row r="378" spans="2:13" x14ac:dyDescent="0.25">
      <c r="B378" s="5" t="s">
        <v>336</v>
      </c>
      <c r="C378" s="10">
        <v>1022.76</v>
      </c>
      <c r="D378" s="10">
        <v>5</v>
      </c>
      <c r="E378" s="10">
        <f>C378*D378/100</f>
        <v>51.138000000000005</v>
      </c>
      <c r="F378" s="10">
        <f>153.42+E378*2</f>
        <v>255.696</v>
      </c>
      <c r="G378" s="10">
        <f>E378+F378</f>
        <v>306.834</v>
      </c>
      <c r="H378" s="10">
        <f>C378-G378</f>
        <v>715.92599999999993</v>
      </c>
      <c r="J378" s="35"/>
    </row>
    <row r="379" spans="2:13" x14ac:dyDescent="0.25">
      <c r="B379" s="5" t="s">
        <v>255</v>
      </c>
      <c r="G379" s="10"/>
      <c r="H379" s="10"/>
      <c r="J379" s="35"/>
    </row>
    <row r="380" spans="2:13" x14ac:dyDescent="0.25">
      <c r="B380" s="5" t="s">
        <v>254</v>
      </c>
      <c r="C380" s="10">
        <v>1504.76</v>
      </c>
      <c r="D380" s="12">
        <v>5</v>
      </c>
      <c r="E380" s="10">
        <f>C380*D380/100</f>
        <v>75.238</v>
      </c>
      <c r="F380" s="12">
        <f>150.48+E380*2</f>
        <v>300.95600000000002</v>
      </c>
      <c r="G380" s="10">
        <f>E380+F380</f>
        <v>376.19400000000002</v>
      </c>
      <c r="H380" s="10">
        <f>C380-G380</f>
        <v>1128.566</v>
      </c>
    </row>
    <row r="381" spans="2:13" x14ac:dyDescent="0.25">
      <c r="B381" s="2" t="s">
        <v>202</v>
      </c>
      <c r="C381" s="25">
        <f>SUM(C340:C380)</f>
        <v>33631.949999999997</v>
      </c>
      <c r="D381" s="25"/>
      <c r="E381" s="25">
        <f>SUM(E340:E380)</f>
        <v>1681.5945000000004</v>
      </c>
      <c r="F381" s="12">
        <f>SUM(F340:F380)</f>
        <v>11393.939000000004</v>
      </c>
      <c r="G381" s="25">
        <f>SUM(G340:G380)</f>
        <v>13075.533500000005</v>
      </c>
      <c r="H381" s="25">
        <f>SUM(H340:H380)</f>
        <v>20556.416499999992</v>
      </c>
      <c r="J381" s="4"/>
    </row>
    <row r="382" spans="2:13" x14ac:dyDescent="0.25">
      <c r="B382" s="5" t="s">
        <v>203</v>
      </c>
      <c r="C382" s="17">
        <f>C302+C322+C381</f>
        <v>4154697.3700000015</v>
      </c>
      <c r="D382" s="10"/>
      <c r="E382" s="17">
        <f>E302+E322+E381</f>
        <v>133399.15299999999</v>
      </c>
      <c r="F382" s="17">
        <f>F302+F322+F381</f>
        <v>2698109.8459999985</v>
      </c>
      <c r="G382" s="17">
        <f>G302+G322+G381</f>
        <v>2804508.9989999989</v>
      </c>
      <c r="H382" s="17">
        <f>H302+H322+H381</f>
        <v>1350188.371</v>
      </c>
      <c r="J382" s="4"/>
      <c r="L382" s="4"/>
    </row>
    <row r="383" spans="2:13" x14ac:dyDescent="0.25">
      <c r="C383" s="10"/>
      <c r="D383" s="10"/>
      <c r="E383" s="10"/>
      <c r="F383" s="10"/>
      <c r="G383" s="10"/>
      <c r="H383" s="10"/>
      <c r="J383" s="4"/>
      <c r="M383" s="4"/>
    </row>
    <row r="384" spans="2:13" x14ac:dyDescent="0.25">
      <c r="C384" s="10"/>
      <c r="D384" s="10"/>
      <c r="E384" s="10"/>
      <c r="F384" s="10"/>
      <c r="G384" s="10"/>
      <c r="H384" s="10"/>
    </row>
    <row r="385" spans="1:12" x14ac:dyDescent="0.25">
      <c r="C385" s="10"/>
      <c r="D385" s="10"/>
      <c r="E385" s="10"/>
      <c r="F385" s="10"/>
      <c r="G385" s="10"/>
      <c r="H385" s="10"/>
    </row>
    <row r="386" spans="1:12" x14ac:dyDescent="0.25">
      <c r="C386" s="10"/>
      <c r="D386" s="10"/>
      <c r="E386" s="10"/>
      <c r="F386" s="10"/>
      <c r="G386" s="10"/>
      <c r="H386" s="10"/>
    </row>
    <row r="387" spans="1:12" x14ac:dyDescent="0.25">
      <c r="C387" s="10"/>
      <c r="D387" s="10"/>
      <c r="E387" s="10"/>
      <c r="F387" s="10"/>
      <c r="G387" s="10"/>
      <c r="H387" s="10"/>
    </row>
    <row r="388" spans="1:12" x14ac:dyDescent="0.25">
      <c r="C388" s="10"/>
      <c r="D388" s="10"/>
      <c r="E388" s="10"/>
      <c r="F388" s="10"/>
      <c r="G388" s="10"/>
      <c r="H388" s="10"/>
    </row>
    <row r="389" spans="1:12" x14ac:dyDescent="0.25">
      <c r="C389" s="10"/>
      <c r="D389" s="10"/>
      <c r="E389" s="10"/>
      <c r="F389" s="10"/>
      <c r="G389" s="10"/>
      <c r="H389" s="10"/>
    </row>
    <row r="390" spans="1:12" x14ac:dyDescent="0.25">
      <c r="C390" s="10"/>
      <c r="D390" s="10"/>
      <c r="E390" s="10"/>
      <c r="F390" s="10"/>
      <c r="G390" s="10"/>
      <c r="H390" s="10"/>
    </row>
    <row r="391" spans="1:12" x14ac:dyDescent="0.25">
      <c r="C391" s="10"/>
      <c r="D391" s="10"/>
      <c r="E391" s="10"/>
      <c r="F391" s="10"/>
      <c r="G391" s="10"/>
      <c r="H391" s="10"/>
    </row>
    <row r="392" spans="1:12" x14ac:dyDescent="0.25">
      <c r="C392" s="10"/>
      <c r="D392" s="10"/>
      <c r="E392" s="10"/>
      <c r="F392" s="10"/>
      <c r="G392" s="10"/>
      <c r="H392" s="10"/>
    </row>
    <row r="393" spans="1:12" x14ac:dyDescent="0.25">
      <c r="B393" s="5" t="s">
        <v>217</v>
      </c>
      <c r="C393" s="4" t="s">
        <v>216</v>
      </c>
      <c r="E393" s="15"/>
      <c r="F393" s="16"/>
      <c r="H393" s="10"/>
    </row>
    <row r="394" spans="1:12" x14ac:dyDescent="0.25">
      <c r="B394" s="5" t="s">
        <v>561</v>
      </c>
      <c r="L394" s="4"/>
    </row>
    <row r="395" spans="1:12" x14ac:dyDescent="0.25">
      <c r="C395" s="5" t="s">
        <v>9</v>
      </c>
      <c r="D395" s="5" t="s">
        <v>10</v>
      </c>
      <c r="E395" s="5" t="s">
        <v>1</v>
      </c>
      <c r="F395" s="5" t="s">
        <v>2</v>
      </c>
      <c r="G395" s="5" t="s">
        <v>3</v>
      </c>
      <c r="H395" s="5" t="s">
        <v>5</v>
      </c>
    </row>
    <row r="396" spans="1:12" x14ac:dyDescent="0.25">
      <c r="A396" s="5">
        <v>4</v>
      </c>
      <c r="B396" s="1" t="s">
        <v>271</v>
      </c>
      <c r="C396" s="4"/>
      <c r="G396" s="4"/>
      <c r="H396" s="4"/>
      <c r="L396" s="4"/>
    </row>
    <row r="397" spans="1:12" x14ac:dyDescent="0.25">
      <c r="B397" s="5" t="s">
        <v>428</v>
      </c>
      <c r="C397" s="4">
        <v>125923.95</v>
      </c>
      <c r="E397" s="5">
        <v>0</v>
      </c>
      <c r="F397" s="4">
        <v>125923.95</v>
      </c>
      <c r="G397" s="4">
        <f t="shared" ref="G397:G403" si="33">E397+F397</f>
        <v>125923.95</v>
      </c>
      <c r="H397" s="4">
        <f t="shared" ref="H397:H404" si="34">C397-G397</f>
        <v>0</v>
      </c>
    </row>
    <row r="398" spans="1:12" x14ac:dyDescent="0.25">
      <c r="B398" s="5" t="s">
        <v>363</v>
      </c>
      <c r="C398" s="10">
        <v>1584</v>
      </c>
      <c r="D398" s="10">
        <v>20</v>
      </c>
      <c r="E398" s="10">
        <f t="shared" ref="E398:E403" si="35">C398*D398/100</f>
        <v>316.8</v>
      </c>
      <c r="F398" s="10">
        <f>475.2+E398*2</f>
        <v>1108.8</v>
      </c>
      <c r="G398" s="10">
        <f t="shared" si="33"/>
        <v>1425.6</v>
      </c>
      <c r="H398" s="10">
        <f t="shared" si="34"/>
        <v>158.40000000000009</v>
      </c>
    </row>
    <row r="399" spans="1:12" x14ac:dyDescent="0.25">
      <c r="B399" s="5" t="s">
        <v>362</v>
      </c>
      <c r="C399" s="10">
        <v>1234.2</v>
      </c>
      <c r="D399" s="10">
        <v>20</v>
      </c>
      <c r="E399" s="10">
        <f t="shared" si="35"/>
        <v>246.84</v>
      </c>
      <c r="F399" s="10">
        <f>123.42+E399*2</f>
        <v>617.1</v>
      </c>
      <c r="G399" s="10">
        <f t="shared" si="33"/>
        <v>863.94</v>
      </c>
      <c r="H399" s="10">
        <f t="shared" si="34"/>
        <v>370.26</v>
      </c>
    </row>
    <row r="400" spans="1:12" x14ac:dyDescent="0.25">
      <c r="B400" s="5" t="s">
        <v>429</v>
      </c>
      <c r="C400" s="10">
        <v>1331</v>
      </c>
      <c r="D400" s="10">
        <v>20</v>
      </c>
      <c r="E400" s="10">
        <f t="shared" si="35"/>
        <v>266.2</v>
      </c>
      <c r="F400" s="10">
        <f>133.1*4</f>
        <v>532.4</v>
      </c>
      <c r="G400" s="10">
        <f t="shared" si="33"/>
        <v>798.59999999999991</v>
      </c>
      <c r="H400" s="10">
        <f t="shared" si="34"/>
        <v>532.40000000000009</v>
      </c>
    </row>
    <row r="401" spans="2:10" x14ac:dyDescent="0.25">
      <c r="B401" s="5" t="s">
        <v>430</v>
      </c>
      <c r="C401" s="4">
        <v>2934.39</v>
      </c>
      <c r="D401" s="10">
        <v>20</v>
      </c>
      <c r="E401" s="10">
        <f>C401*D401/100</f>
        <v>586.87799999999993</v>
      </c>
      <c r="F401" s="4">
        <f>293.44*4</f>
        <v>1173.76</v>
      </c>
      <c r="G401" s="10">
        <f>E401+F401</f>
        <v>1760.6379999999999</v>
      </c>
      <c r="H401" s="10">
        <f t="shared" si="34"/>
        <v>1173.752</v>
      </c>
    </row>
    <row r="402" spans="2:10" x14ac:dyDescent="0.25">
      <c r="B402" s="5" t="s">
        <v>496</v>
      </c>
      <c r="C402" s="4">
        <v>247.05</v>
      </c>
      <c r="D402" s="10">
        <v>20</v>
      </c>
      <c r="E402" s="10">
        <f>C402*D402/100</f>
        <v>49.41</v>
      </c>
      <c r="F402" s="4">
        <f>24.71*4</f>
        <v>98.84</v>
      </c>
      <c r="G402" s="10">
        <f t="shared" si="33"/>
        <v>148.25</v>
      </c>
      <c r="H402" s="10">
        <f t="shared" si="34"/>
        <v>98.800000000000011</v>
      </c>
    </row>
    <row r="403" spans="2:10" x14ac:dyDescent="0.25">
      <c r="B403" s="5" t="s">
        <v>497</v>
      </c>
      <c r="C403" s="4">
        <v>878.4</v>
      </c>
      <c r="D403" s="10">
        <v>20</v>
      </c>
      <c r="E403" s="10">
        <f t="shared" si="35"/>
        <v>175.68</v>
      </c>
      <c r="F403" s="4">
        <f>87.84*4</f>
        <v>351.36</v>
      </c>
      <c r="G403" s="10">
        <f t="shared" si="33"/>
        <v>527.04</v>
      </c>
      <c r="H403" s="10">
        <f t="shared" si="34"/>
        <v>351.36</v>
      </c>
      <c r="J403" s="4"/>
    </row>
    <row r="404" spans="2:10" x14ac:dyDescent="0.25">
      <c r="B404" s="5" t="s">
        <v>421</v>
      </c>
      <c r="C404" s="12">
        <v>-440</v>
      </c>
      <c r="D404" s="10">
        <v>20</v>
      </c>
      <c r="E404" s="12">
        <f>C404*D404/100</f>
        <v>-88</v>
      </c>
      <c r="F404" s="12">
        <f>-44*4</f>
        <v>-176</v>
      </c>
      <c r="G404" s="12">
        <f>E404+F404</f>
        <v>-264</v>
      </c>
      <c r="H404" s="12">
        <f t="shared" si="34"/>
        <v>-176</v>
      </c>
    </row>
    <row r="405" spans="2:10" x14ac:dyDescent="0.25">
      <c r="B405" s="2" t="s">
        <v>326</v>
      </c>
      <c r="C405" s="4">
        <f>SUM(C397:C404)</f>
        <v>133692.99</v>
      </c>
      <c r="E405" s="10">
        <f>SUM(E397:E404)</f>
        <v>1553.808</v>
      </c>
      <c r="F405" s="4">
        <f>SUM(F397:F404)</f>
        <v>129630.20999999999</v>
      </c>
      <c r="G405" s="4">
        <f>SUM(G397:G404)</f>
        <v>131184.01800000001</v>
      </c>
      <c r="H405" s="4">
        <f>SUM(H397:H404)</f>
        <v>2508.9720000000002</v>
      </c>
    </row>
    <row r="406" spans="2:10" x14ac:dyDescent="0.25">
      <c r="B406" s="5" t="s">
        <v>256</v>
      </c>
    </row>
    <row r="407" spans="2:10" x14ac:dyDescent="0.25">
      <c r="B407" s="5" t="s">
        <v>294</v>
      </c>
    </row>
    <row r="408" spans="2:10" x14ac:dyDescent="0.25">
      <c r="B408" s="5" t="s">
        <v>296</v>
      </c>
      <c r="C408" s="4">
        <v>1680</v>
      </c>
      <c r="E408" s="4">
        <f t="shared" ref="E408:E413" si="36">C408*D408/100</f>
        <v>0</v>
      </c>
      <c r="F408" s="4">
        <v>1680</v>
      </c>
      <c r="G408" s="4">
        <v>1680</v>
      </c>
      <c r="H408" s="4">
        <f>C408-G408</f>
        <v>0</v>
      </c>
    </row>
    <row r="409" spans="2:10" x14ac:dyDescent="0.25">
      <c r="B409" s="5" t="s">
        <v>295</v>
      </c>
      <c r="E409" s="4"/>
      <c r="H409" s="4"/>
    </row>
    <row r="410" spans="2:10" x14ac:dyDescent="0.25">
      <c r="B410" s="5" t="s">
        <v>297</v>
      </c>
      <c r="C410" s="4">
        <v>5580</v>
      </c>
      <c r="E410" s="4">
        <f t="shared" si="36"/>
        <v>0</v>
      </c>
      <c r="F410" s="4">
        <v>5580</v>
      </c>
      <c r="G410" s="4">
        <f>E410+F410</f>
        <v>5580</v>
      </c>
      <c r="H410" s="4">
        <f>C410-G410</f>
        <v>0</v>
      </c>
    </row>
    <row r="411" spans="2:10" x14ac:dyDescent="0.25">
      <c r="B411" s="5" t="s">
        <v>434</v>
      </c>
      <c r="C411" s="4">
        <v>13020</v>
      </c>
      <c r="E411" s="4">
        <f t="shared" si="36"/>
        <v>0</v>
      </c>
      <c r="F411" s="4">
        <v>13020</v>
      </c>
      <c r="G411" s="4">
        <f>E411+F411</f>
        <v>13020</v>
      </c>
      <c r="H411" s="4">
        <f>C411-G411</f>
        <v>0</v>
      </c>
    </row>
    <row r="412" spans="2:10" x14ac:dyDescent="0.25">
      <c r="B412" s="5" t="s">
        <v>433</v>
      </c>
      <c r="C412" s="4">
        <v>409.71</v>
      </c>
      <c r="E412" s="4">
        <f t="shared" si="36"/>
        <v>0</v>
      </c>
      <c r="F412" s="4">
        <v>409.71</v>
      </c>
      <c r="G412" s="4">
        <f>E412+F412</f>
        <v>409.71</v>
      </c>
      <c r="H412" s="4">
        <f>C412-G412</f>
        <v>0</v>
      </c>
    </row>
    <row r="413" spans="2:10" x14ac:dyDescent="0.25">
      <c r="B413" s="5" t="s">
        <v>435</v>
      </c>
      <c r="C413" s="4">
        <v>1398.83</v>
      </c>
      <c r="E413" s="4">
        <f t="shared" si="36"/>
        <v>0</v>
      </c>
      <c r="F413" s="4">
        <v>1398.83</v>
      </c>
      <c r="G413" s="4">
        <f>E413+F413</f>
        <v>1398.83</v>
      </c>
      <c r="H413" s="4">
        <f>C413-G413</f>
        <v>0</v>
      </c>
    </row>
    <row r="414" spans="2:10" x14ac:dyDescent="0.25">
      <c r="B414" s="5" t="s">
        <v>298</v>
      </c>
      <c r="E414" s="4"/>
    </row>
    <row r="415" spans="2:10" x14ac:dyDescent="0.25">
      <c r="B415" s="5" t="s">
        <v>300</v>
      </c>
      <c r="C415" s="4">
        <v>1730.17</v>
      </c>
      <c r="D415" s="4"/>
      <c r="E415" s="4">
        <f>C415*D415/100</f>
        <v>0</v>
      </c>
      <c r="F415" s="4">
        <v>1730.17</v>
      </c>
      <c r="G415" s="4">
        <f>E415+F415</f>
        <v>1730.17</v>
      </c>
      <c r="H415" s="4">
        <f>C415-G415</f>
        <v>0</v>
      </c>
    </row>
    <row r="416" spans="2:10" x14ac:dyDescent="0.25">
      <c r="B416" s="5" t="s">
        <v>299</v>
      </c>
      <c r="C416" s="4">
        <v>972</v>
      </c>
      <c r="D416" s="4"/>
      <c r="E416" s="4">
        <f>C416*D416/100</f>
        <v>0</v>
      </c>
      <c r="F416" s="4">
        <v>972</v>
      </c>
      <c r="G416" s="4">
        <f>E416+F416</f>
        <v>972</v>
      </c>
      <c r="H416" s="4">
        <f>C416-G416</f>
        <v>0</v>
      </c>
    </row>
    <row r="417" spans="2:10" x14ac:dyDescent="0.25">
      <c r="B417" s="5" t="s">
        <v>301</v>
      </c>
      <c r="C417" s="4">
        <v>50.4</v>
      </c>
      <c r="D417" s="4"/>
      <c r="E417" s="4">
        <v>0</v>
      </c>
      <c r="F417" s="4">
        <v>50.4</v>
      </c>
      <c r="G417" s="4">
        <f>E417+F417</f>
        <v>50.4</v>
      </c>
      <c r="H417" s="4">
        <f>C417-G417</f>
        <v>0</v>
      </c>
    </row>
    <row r="418" spans="2:10" x14ac:dyDescent="0.25">
      <c r="B418" s="5" t="s">
        <v>302</v>
      </c>
      <c r="C418" s="12">
        <v>2516.08</v>
      </c>
      <c r="D418" s="12"/>
      <c r="E418" s="12">
        <v>0</v>
      </c>
      <c r="F418" s="12">
        <v>2516.08</v>
      </c>
      <c r="G418" s="12">
        <f>E418+F418</f>
        <v>2516.08</v>
      </c>
      <c r="H418" s="12">
        <f>C418-G418</f>
        <v>0</v>
      </c>
    </row>
    <row r="419" spans="2:10" x14ac:dyDescent="0.25">
      <c r="B419" s="5" t="s">
        <v>188</v>
      </c>
      <c r="C419" s="4">
        <f>SUM(C405:C418)</f>
        <v>161050.17999999996</v>
      </c>
      <c r="D419" s="4"/>
      <c r="E419" s="4">
        <f>SUM(E405:E418)</f>
        <v>1553.808</v>
      </c>
      <c r="F419" s="4">
        <f>SUM(F405:F418)</f>
        <v>156987.39999999997</v>
      </c>
      <c r="G419" s="4">
        <f>SUM(G405:G418)</f>
        <v>158541.20799999998</v>
      </c>
      <c r="H419" s="4">
        <f>SUM(H405:H418)</f>
        <v>2508.9720000000002</v>
      </c>
    </row>
    <row r="421" spans="2:10" x14ac:dyDescent="0.25">
      <c r="B421" s="5" t="s">
        <v>7</v>
      </c>
      <c r="C421" s="4"/>
      <c r="D421" s="4"/>
      <c r="E421" s="4"/>
      <c r="F421" s="4"/>
      <c r="G421" s="4"/>
      <c r="H421" s="4"/>
    </row>
    <row r="422" spans="2:10" x14ac:dyDescent="0.25">
      <c r="B422" s="5" t="s">
        <v>257</v>
      </c>
      <c r="C422" s="4">
        <v>2456.4299999999998</v>
      </c>
      <c r="D422" s="4">
        <v>0</v>
      </c>
      <c r="E422" s="4">
        <v>0</v>
      </c>
      <c r="F422" s="4">
        <v>2456.4299999999998</v>
      </c>
      <c r="G422" s="4">
        <f>E422+F422</f>
        <v>2456.4299999999998</v>
      </c>
      <c r="H422" s="4">
        <f>C422-G422</f>
        <v>0</v>
      </c>
    </row>
    <row r="423" spans="2:10" x14ac:dyDescent="0.25">
      <c r="B423" s="5" t="s">
        <v>8</v>
      </c>
      <c r="C423" s="4"/>
      <c r="D423" s="4"/>
      <c r="E423" s="4"/>
      <c r="F423" s="4"/>
      <c r="G423" s="4"/>
      <c r="H423" s="4"/>
    </row>
    <row r="424" spans="2:10" x14ac:dyDescent="0.25">
      <c r="B424" s="5" t="s">
        <v>257</v>
      </c>
      <c r="C424" s="4">
        <v>3944.07</v>
      </c>
      <c r="D424" s="4">
        <v>0</v>
      </c>
      <c r="E424" s="4">
        <v>0</v>
      </c>
      <c r="F424" s="4">
        <v>3944.07</v>
      </c>
      <c r="G424" s="4">
        <v>3944.07</v>
      </c>
      <c r="H424" s="4">
        <v>0</v>
      </c>
    </row>
    <row r="425" spans="2:10" x14ac:dyDescent="0.25">
      <c r="B425" s="5" t="s">
        <v>51</v>
      </c>
      <c r="C425" s="4"/>
      <c r="D425" s="4"/>
      <c r="E425" s="4"/>
      <c r="F425" s="4"/>
      <c r="G425" s="4"/>
      <c r="H425" s="4"/>
    </row>
    <row r="426" spans="2:10" x14ac:dyDescent="0.25">
      <c r="B426" s="5" t="s">
        <v>258</v>
      </c>
      <c r="C426" s="12">
        <v>2119.1999999999998</v>
      </c>
      <c r="D426" s="12">
        <v>0</v>
      </c>
      <c r="E426" s="12">
        <v>0</v>
      </c>
      <c r="F426" s="12">
        <v>2119.1999999999998</v>
      </c>
      <c r="G426" s="12">
        <f>E426+F426</f>
        <v>2119.1999999999998</v>
      </c>
      <c r="H426" s="12">
        <f>C426-G426</f>
        <v>0</v>
      </c>
    </row>
    <row r="427" spans="2:10" x14ac:dyDescent="0.25">
      <c r="B427" s="5" t="s">
        <v>204</v>
      </c>
      <c r="C427" s="4">
        <f>SUM(C422:C426)</f>
        <v>8519.7000000000007</v>
      </c>
      <c r="E427" s="4">
        <f>SUM(E422:E426)</f>
        <v>0</v>
      </c>
      <c r="F427" s="4">
        <f>SUM(F422:F426)</f>
        <v>8519.7000000000007</v>
      </c>
      <c r="G427" s="4">
        <f>SUM(G422:G426)</f>
        <v>8519.7000000000007</v>
      </c>
      <c r="H427" s="4">
        <f>SUM(H422:H426)</f>
        <v>0</v>
      </c>
    </row>
    <row r="429" spans="2:10" x14ac:dyDescent="0.25">
      <c r="B429" s="5" t="s">
        <v>243</v>
      </c>
      <c r="D429" s="4"/>
      <c r="E429" s="4"/>
      <c r="F429" s="4"/>
      <c r="G429" s="4"/>
      <c r="H429" s="4"/>
    </row>
    <row r="430" spans="2:10" x14ac:dyDescent="0.25">
      <c r="B430" s="5" t="s">
        <v>133</v>
      </c>
      <c r="C430" s="4">
        <v>1116</v>
      </c>
      <c r="D430" s="4"/>
      <c r="E430" s="4">
        <f>C430*D430/100</f>
        <v>0</v>
      </c>
      <c r="F430" s="4">
        <v>1116</v>
      </c>
      <c r="G430" s="4">
        <f>E430+F430</f>
        <v>1116</v>
      </c>
      <c r="H430" s="4">
        <f>C430-G430</f>
        <v>0</v>
      </c>
    </row>
    <row r="431" spans="2:10" x14ac:dyDescent="0.25">
      <c r="B431" s="5" t="s">
        <v>134</v>
      </c>
      <c r="C431" s="4">
        <v>14580</v>
      </c>
      <c r="D431" s="4"/>
      <c r="E431" s="4">
        <f>C431*D431/100</f>
        <v>0</v>
      </c>
      <c r="F431" s="4">
        <v>14580</v>
      </c>
      <c r="G431" s="4">
        <f>E431+F431</f>
        <v>14580</v>
      </c>
      <c r="H431" s="4">
        <f>C431-G431</f>
        <v>0</v>
      </c>
    </row>
    <row r="432" spans="2:10" x14ac:dyDescent="0.25">
      <c r="B432" s="5" t="s">
        <v>364</v>
      </c>
      <c r="C432" s="4">
        <v>2087.04</v>
      </c>
      <c r="D432" s="4">
        <v>20</v>
      </c>
      <c r="E432" s="4">
        <f>C432*D432/100</f>
        <v>417.40800000000002</v>
      </c>
      <c r="F432" s="4">
        <f>626.11+417.41</f>
        <v>1043.52</v>
      </c>
      <c r="G432" s="4">
        <f>E432+F432</f>
        <v>1460.9279999999999</v>
      </c>
      <c r="H432" s="4">
        <f>C432-G432</f>
        <v>626.11200000000008</v>
      </c>
      <c r="J432" s="4"/>
    </row>
    <row r="433" spans="2:8" x14ac:dyDescent="0.25">
      <c r="B433" s="5" t="s">
        <v>287</v>
      </c>
      <c r="C433" s="4"/>
      <c r="D433" s="4"/>
      <c r="E433" s="4"/>
      <c r="F433" s="4"/>
      <c r="G433" s="4"/>
      <c r="H433" s="4"/>
    </row>
    <row r="434" spans="2:8" x14ac:dyDescent="0.25">
      <c r="B434" s="5" t="s">
        <v>135</v>
      </c>
      <c r="C434" s="4">
        <v>6720</v>
      </c>
      <c r="D434" s="4"/>
      <c r="E434" s="4">
        <f>C434*D434/100</f>
        <v>0</v>
      </c>
      <c r="F434" s="4">
        <v>6720</v>
      </c>
      <c r="G434" s="4">
        <f>E434+F434</f>
        <v>6720</v>
      </c>
      <c r="H434" s="4">
        <f>C434-G434</f>
        <v>0</v>
      </c>
    </row>
    <row r="435" spans="2:8" x14ac:dyDescent="0.25">
      <c r="B435" s="5" t="s">
        <v>303</v>
      </c>
      <c r="C435" s="4">
        <v>-1680</v>
      </c>
      <c r="F435" s="4">
        <v>-1680</v>
      </c>
      <c r="G435" s="4">
        <v>-1680</v>
      </c>
    </row>
    <row r="436" spans="2:8" x14ac:dyDescent="0.25">
      <c r="B436" s="5" t="s">
        <v>136</v>
      </c>
      <c r="C436" s="4">
        <v>1203.4100000000001</v>
      </c>
      <c r="D436" s="4"/>
      <c r="E436" s="4">
        <f>C436*D436/100</f>
        <v>0</v>
      </c>
      <c r="F436" s="4">
        <v>1203.4100000000001</v>
      </c>
      <c r="G436" s="4">
        <f>E436+F436</f>
        <v>1203.4100000000001</v>
      </c>
      <c r="H436" s="4">
        <f>C436-G436</f>
        <v>0</v>
      </c>
    </row>
    <row r="437" spans="2:8" x14ac:dyDescent="0.25">
      <c r="B437" s="5" t="s">
        <v>245</v>
      </c>
      <c r="D437" s="4"/>
      <c r="E437" s="4"/>
      <c r="G437" s="4"/>
      <c r="H437" s="4"/>
    </row>
    <row r="438" spans="2:8" x14ac:dyDescent="0.25">
      <c r="B438" s="5" t="s">
        <v>137</v>
      </c>
      <c r="C438" s="4">
        <v>1242.51</v>
      </c>
      <c r="D438" s="4"/>
      <c r="E438" s="4">
        <f>C438*D438/100</f>
        <v>0</v>
      </c>
      <c r="F438" s="4">
        <v>1242.51</v>
      </c>
      <c r="G438" s="4">
        <f>E438+F438</f>
        <v>1242.51</v>
      </c>
      <c r="H438" s="4">
        <f>C438-G438</f>
        <v>0</v>
      </c>
    </row>
    <row r="439" spans="2:8" x14ac:dyDescent="0.25">
      <c r="B439" s="5" t="s">
        <v>138</v>
      </c>
      <c r="C439" s="12">
        <v>7080</v>
      </c>
      <c r="D439" s="12"/>
      <c r="E439" s="12">
        <f>C439*D439/100</f>
        <v>0</v>
      </c>
      <c r="F439" s="12">
        <v>7080</v>
      </c>
      <c r="G439" s="12">
        <f>E439+F439</f>
        <v>7080</v>
      </c>
      <c r="H439" s="12">
        <f>C439-G439</f>
        <v>0</v>
      </c>
    </row>
    <row r="440" spans="2:8" x14ac:dyDescent="0.25">
      <c r="B440" s="5" t="s">
        <v>223</v>
      </c>
      <c r="C440" s="4">
        <f>SUM(C429:C439)</f>
        <v>32348.959999999999</v>
      </c>
      <c r="E440" s="4">
        <f>SUM(E430:E439)</f>
        <v>417.40800000000002</v>
      </c>
      <c r="F440" s="4">
        <f>SUM(F430:F439)</f>
        <v>31305.439999999999</v>
      </c>
      <c r="G440" s="4">
        <f>SUM(G430:G439)</f>
        <v>31722.847999999998</v>
      </c>
      <c r="H440" s="4">
        <f>SUM(H430:H439)</f>
        <v>626.11200000000008</v>
      </c>
    </row>
    <row r="449" spans="2:11" x14ac:dyDescent="0.25">
      <c r="B449" s="5" t="s">
        <v>217</v>
      </c>
      <c r="C449" s="4" t="s">
        <v>216</v>
      </c>
      <c r="E449" s="15"/>
      <c r="F449" s="16"/>
    </row>
    <row r="450" spans="2:11" x14ac:dyDescent="0.25">
      <c r="B450" s="5" t="s">
        <v>546</v>
      </c>
    </row>
    <row r="451" spans="2:11" x14ac:dyDescent="0.25">
      <c r="B451" s="5" t="s">
        <v>187</v>
      </c>
      <c r="C451" s="5" t="s">
        <v>9</v>
      </c>
      <c r="D451" s="5" t="s">
        <v>10</v>
      </c>
      <c r="E451" s="5" t="s">
        <v>1</v>
      </c>
      <c r="F451" s="5" t="s">
        <v>2</v>
      </c>
      <c r="G451" s="5" t="s">
        <v>3</v>
      </c>
      <c r="H451" s="5" t="s">
        <v>5</v>
      </c>
    </row>
    <row r="452" spans="2:11" x14ac:dyDescent="0.25">
      <c r="B452" s="5" t="s">
        <v>186</v>
      </c>
      <c r="C452" s="4">
        <f>C440</f>
        <v>32348.959999999999</v>
      </c>
      <c r="E452" s="4">
        <f>E440</f>
        <v>417.40800000000002</v>
      </c>
      <c r="F452" s="4">
        <f>F440</f>
        <v>31305.439999999999</v>
      </c>
      <c r="G452" s="4">
        <f>G440</f>
        <v>31722.847999999998</v>
      </c>
      <c r="H452" s="4">
        <f>H440</f>
        <v>626.11200000000008</v>
      </c>
    </row>
    <row r="453" spans="2:11" x14ac:dyDescent="0.25">
      <c r="B453" s="5" t="s">
        <v>139</v>
      </c>
      <c r="C453" s="4"/>
      <c r="D453" s="4"/>
      <c r="E453" s="4"/>
      <c r="G453" s="4"/>
      <c r="H453" s="4"/>
    </row>
    <row r="454" spans="2:11" x14ac:dyDescent="0.25">
      <c r="B454" s="5" t="s">
        <v>135</v>
      </c>
      <c r="C454" s="4">
        <v>6720</v>
      </c>
      <c r="D454" s="4"/>
      <c r="E454" s="4">
        <f>C454*D454/100</f>
        <v>0</v>
      </c>
      <c r="F454" s="4">
        <v>6720</v>
      </c>
      <c r="G454" s="4">
        <f>E454+F454</f>
        <v>6720</v>
      </c>
      <c r="H454" s="4">
        <f>C454-G454</f>
        <v>0</v>
      </c>
    </row>
    <row r="455" spans="2:11" x14ac:dyDescent="0.25">
      <c r="B455" s="5" t="s">
        <v>140</v>
      </c>
      <c r="C455" s="4">
        <v>1242.52</v>
      </c>
      <c r="D455" s="4"/>
      <c r="E455" s="4">
        <f>C455*D455/100</f>
        <v>0</v>
      </c>
      <c r="F455" s="4">
        <v>1242.52</v>
      </c>
      <c r="G455" s="4">
        <f>E455+F455</f>
        <v>1242.52</v>
      </c>
      <c r="H455" s="4">
        <f>C455-G455</f>
        <v>0</v>
      </c>
    </row>
    <row r="456" spans="2:11" x14ac:dyDescent="0.25">
      <c r="B456" s="5" t="s">
        <v>141</v>
      </c>
      <c r="C456" s="4"/>
      <c r="D456" s="4"/>
      <c r="E456" s="4"/>
      <c r="G456" s="4"/>
      <c r="H456" s="4"/>
    </row>
    <row r="457" spans="2:11" x14ac:dyDescent="0.25">
      <c r="B457" s="5" t="s">
        <v>135</v>
      </c>
      <c r="C457" s="4">
        <v>6720</v>
      </c>
      <c r="D457" s="4"/>
      <c r="E457" s="4">
        <f>C457*D457/100</f>
        <v>0</v>
      </c>
      <c r="F457" s="4">
        <v>6720</v>
      </c>
      <c r="G457" s="4">
        <f>E457+F457</f>
        <v>6720</v>
      </c>
      <c r="H457" s="4">
        <f>C457-G457</f>
        <v>0</v>
      </c>
    </row>
    <row r="458" spans="2:11" x14ac:dyDescent="0.25">
      <c r="B458" s="5" t="s">
        <v>168</v>
      </c>
      <c r="C458" s="4">
        <v>1200</v>
      </c>
      <c r="D458" s="4"/>
      <c r="E458" s="4">
        <f>C458*D458/100</f>
        <v>0</v>
      </c>
      <c r="F458" s="4">
        <v>1200</v>
      </c>
      <c r="G458" s="4">
        <f>E458+F458</f>
        <v>1200</v>
      </c>
      <c r="H458" s="4">
        <f>C458-G458</f>
        <v>0</v>
      </c>
    </row>
    <row r="459" spans="2:11" x14ac:dyDescent="0.25">
      <c r="B459" s="5" t="s">
        <v>169</v>
      </c>
      <c r="C459" s="4">
        <v>409.7</v>
      </c>
      <c r="D459" s="4"/>
      <c r="E459" s="4">
        <f>C459*D459/100</f>
        <v>0</v>
      </c>
      <c r="F459" s="4">
        <v>409.7</v>
      </c>
      <c r="G459" s="4">
        <f>E459+F459</f>
        <v>409.7</v>
      </c>
      <c r="H459" s="4">
        <f>C459-G459</f>
        <v>0</v>
      </c>
    </row>
    <row r="460" spans="2:11" x14ac:dyDescent="0.25">
      <c r="B460" s="5" t="s">
        <v>171</v>
      </c>
      <c r="C460" s="4">
        <v>3148.44</v>
      </c>
      <c r="D460" s="4"/>
      <c r="E460" s="4">
        <f>C460*D460/100</f>
        <v>0</v>
      </c>
      <c r="F460" s="4">
        <v>3148.44</v>
      </c>
      <c r="G460" s="4">
        <f>E460+F460</f>
        <v>3148.44</v>
      </c>
      <c r="H460" s="4">
        <f>C460-G460</f>
        <v>0</v>
      </c>
    </row>
    <row r="461" spans="2:11" x14ac:dyDescent="0.25">
      <c r="B461" s="5" t="s">
        <v>431</v>
      </c>
      <c r="C461" s="4"/>
      <c r="D461" s="4"/>
      <c r="E461" s="4"/>
      <c r="F461" s="4"/>
      <c r="G461" s="4"/>
      <c r="H461" s="4"/>
    </row>
    <row r="462" spans="2:11" x14ac:dyDescent="0.25">
      <c r="B462" s="5" t="s">
        <v>169</v>
      </c>
      <c r="C462" s="4">
        <v>409.71</v>
      </c>
      <c r="D462" s="4"/>
      <c r="E462" s="4">
        <v>0</v>
      </c>
      <c r="F462" s="4">
        <v>409.71</v>
      </c>
      <c r="G462" s="4">
        <f>E462+F462</f>
        <v>409.71</v>
      </c>
      <c r="H462" s="4">
        <f>C462-G462</f>
        <v>0</v>
      </c>
    </row>
    <row r="463" spans="2:11" x14ac:dyDescent="0.25">
      <c r="B463" s="5" t="s">
        <v>167</v>
      </c>
      <c r="C463" s="4">
        <v>18600</v>
      </c>
      <c r="D463" s="4"/>
      <c r="E463" s="4">
        <f>C463*D463/100</f>
        <v>0</v>
      </c>
      <c r="F463" s="4">
        <v>18600</v>
      </c>
      <c r="G463" s="4">
        <f>E463+F463</f>
        <v>18600</v>
      </c>
      <c r="H463" s="4">
        <f>C463-G463</f>
        <v>0</v>
      </c>
      <c r="K463" s="4"/>
    </row>
    <row r="464" spans="2:11" x14ac:dyDescent="0.25">
      <c r="B464" s="5" t="s">
        <v>304</v>
      </c>
      <c r="C464" s="4">
        <v>-5580</v>
      </c>
      <c r="D464" s="4"/>
      <c r="E464" s="4">
        <f>C464*D464/100</f>
        <v>0</v>
      </c>
      <c r="F464" s="4">
        <v>-5580</v>
      </c>
      <c r="G464" s="4">
        <f>E464+F464</f>
        <v>-5580</v>
      </c>
      <c r="H464" s="4">
        <f>C464-G464</f>
        <v>0</v>
      </c>
    </row>
    <row r="465" spans="1:12" x14ac:dyDescent="0.25">
      <c r="B465" s="5" t="s">
        <v>170</v>
      </c>
      <c r="C465" s="4">
        <v>1398.83</v>
      </c>
      <c r="D465" s="4"/>
      <c r="E465" s="4">
        <v>0</v>
      </c>
      <c r="F465" s="4">
        <v>1398.83</v>
      </c>
      <c r="G465" s="4">
        <f>E465+F465</f>
        <v>1398.83</v>
      </c>
      <c r="H465" s="4">
        <f>C465-G465</f>
        <v>0</v>
      </c>
    </row>
    <row r="466" spans="1:12" x14ac:dyDescent="0.25">
      <c r="B466" s="5" t="s">
        <v>427</v>
      </c>
      <c r="C466" s="4">
        <v>-14828.54</v>
      </c>
      <c r="E466" s="4">
        <v>0</v>
      </c>
      <c r="F466" s="4">
        <v>-14828.54</v>
      </c>
      <c r="G466" s="4">
        <v>-14828.54</v>
      </c>
      <c r="H466" s="4">
        <v>0</v>
      </c>
    </row>
    <row r="467" spans="1:12" x14ac:dyDescent="0.25">
      <c r="B467" s="5" t="s">
        <v>291</v>
      </c>
      <c r="C467" s="4"/>
      <c r="D467" s="4"/>
      <c r="E467" s="4"/>
      <c r="F467" s="4"/>
      <c r="G467" s="4"/>
      <c r="H467" s="4"/>
    </row>
    <row r="468" spans="1:12" x14ac:dyDescent="0.25">
      <c r="B468" s="5" t="s">
        <v>471</v>
      </c>
      <c r="C468" s="4">
        <v>1302</v>
      </c>
      <c r="D468" s="4"/>
      <c r="E468" s="4">
        <f>C468*D468/100</f>
        <v>0</v>
      </c>
      <c r="F468" s="4">
        <v>1302</v>
      </c>
      <c r="G468" s="4">
        <f>E468+F468</f>
        <v>1302</v>
      </c>
      <c r="H468" s="4">
        <f>C468-G468</f>
        <v>0</v>
      </c>
    </row>
    <row r="469" spans="1:12" x14ac:dyDescent="0.25">
      <c r="B469" s="5" t="s">
        <v>286</v>
      </c>
      <c r="C469" s="4"/>
      <c r="D469" s="4"/>
      <c r="E469" s="4"/>
      <c r="F469" s="4"/>
      <c r="G469" s="4"/>
      <c r="H469" s="4"/>
    </row>
    <row r="470" spans="1:12" x14ac:dyDescent="0.25">
      <c r="B470" s="5" t="s">
        <v>189</v>
      </c>
      <c r="C470" s="4">
        <v>420</v>
      </c>
      <c r="D470" s="4"/>
      <c r="E470" s="4">
        <v>0</v>
      </c>
      <c r="F470" s="4">
        <v>420</v>
      </c>
      <c r="G470" s="4">
        <f>E470+F470</f>
        <v>420</v>
      </c>
      <c r="H470" s="4">
        <f>C470-G470</f>
        <v>0</v>
      </c>
    </row>
    <row r="471" spans="1:12" x14ac:dyDescent="0.25">
      <c r="B471" s="5" t="s">
        <v>191</v>
      </c>
      <c r="C471" s="4"/>
      <c r="D471" s="4"/>
      <c r="E471" s="4"/>
      <c r="F471" s="4"/>
      <c r="G471" s="4"/>
      <c r="H471" s="4"/>
    </row>
    <row r="472" spans="1:12" x14ac:dyDescent="0.25">
      <c r="B472" s="5" t="s">
        <v>52</v>
      </c>
      <c r="C472" s="4">
        <v>1203.4100000000001</v>
      </c>
      <c r="D472" s="4"/>
      <c r="E472" s="4">
        <v>0</v>
      </c>
      <c r="F472" s="4">
        <v>1203.4100000000001</v>
      </c>
      <c r="G472" s="4">
        <f>E472+F472</f>
        <v>1203.4100000000001</v>
      </c>
      <c r="H472" s="4">
        <f>C472-G472</f>
        <v>0</v>
      </c>
    </row>
    <row r="473" spans="1:12" x14ac:dyDescent="0.25">
      <c r="B473" s="5" t="s">
        <v>190</v>
      </c>
      <c r="C473" s="4">
        <v>1730.17</v>
      </c>
      <c r="D473" s="4"/>
      <c r="E473" s="4">
        <f>C473*D473/100</f>
        <v>0</v>
      </c>
      <c r="F473" s="4">
        <v>1730.17</v>
      </c>
      <c r="G473" s="4">
        <f>E473+F473</f>
        <v>1730.17</v>
      </c>
      <c r="H473" s="4">
        <f>C473-G473</f>
        <v>0</v>
      </c>
    </row>
    <row r="474" spans="1:12" x14ac:dyDescent="0.25">
      <c r="B474" s="5" t="s">
        <v>237</v>
      </c>
      <c r="C474" s="4"/>
      <c r="D474" s="4"/>
      <c r="E474" s="4"/>
      <c r="F474" s="4"/>
    </row>
    <row r="475" spans="1:12" x14ac:dyDescent="0.25">
      <c r="B475" s="5" t="s">
        <v>238</v>
      </c>
      <c r="C475" s="12">
        <v>1320</v>
      </c>
      <c r="D475" s="12">
        <v>20</v>
      </c>
      <c r="E475" s="12">
        <v>1001.78</v>
      </c>
      <c r="F475" s="12">
        <f>1320+203.22</f>
        <v>1523.22</v>
      </c>
      <c r="G475" s="12">
        <f>E475+F475-24.96</f>
        <v>2500.04</v>
      </c>
      <c r="H475" s="12">
        <v>-443.08</v>
      </c>
      <c r="J475" s="4"/>
      <c r="K475" s="4"/>
    </row>
    <row r="476" spans="1:12" x14ac:dyDescent="0.25">
      <c r="B476" s="5" t="s">
        <v>205</v>
      </c>
      <c r="C476" s="4">
        <f>SUM(C452:C475)</f>
        <v>57765.19999999999</v>
      </c>
      <c r="E476" s="4">
        <f>SUM(E452:E475)</f>
        <v>1419.1880000000001</v>
      </c>
      <c r="F476" s="4">
        <f>SUM(F452:F475)</f>
        <v>56924.9</v>
      </c>
      <c r="G476" s="4">
        <f>SUM(G452:G475)</f>
        <v>58319.127999999997</v>
      </c>
      <c r="H476" s="4">
        <f>SUM(H452:H475)</f>
        <v>183.0320000000001</v>
      </c>
      <c r="L476" s="4"/>
    </row>
    <row r="477" spans="1:12" x14ac:dyDescent="0.25">
      <c r="B477" s="5" t="s">
        <v>207</v>
      </c>
      <c r="C477" s="14">
        <f>C419+C427+C476</f>
        <v>227335.07999999996</v>
      </c>
      <c r="D477" s="36"/>
      <c r="E477" s="14">
        <f>E419+E427+E476</f>
        <v>2972.9960000000001</v>
      </c>
      <c r="F477" s="25">
        <f>F419+F427+F476</f>
        <v>222431.99999999997</v>
      </c>
      <c r="G477" s="14">
        <f>G419+G427+G476</f>
        <v>225380.03599999999</v>
      </c>
      <c r="H477" s="14">
        <f>H419+H427+H476</f>
        <v>2692.0040000000004</v>
      </c>
      <c r="J477" s="4"/>
      <c r="K477" s="4"/>
      <c r="L477" s="4"/>
    </row>
    <row r="478" spans="1:12" x14ac:dyDescent="0.25">
      <c r="J478" s="4"/>
      <c r="K478" s="4"/>
      <c r="L478" s="4"/>
    </row>
    <row r="479" spans="1:12" x14ac:dyDescent="0.25">
      <c r="A479" s="5">
        <v>5</v>
      </c>
      <c r="B479" s="1" t="s">
        <v>270</v>
      </c>
      <c r="C479" s="4"/>
      <c r="E479" s="15"/>
      <c r="F479" s="16"/>
    </row>
    <row r="480" spans="1:12" x14ac:dyDescent="0.25">
      <c r="B480" s="5" t="s">
        <v>259</v>
      </c>
      <c r="C480" s="4">
        <v>13359.82</v>
      </c>
      <c r="E480" s="4"/>
      <c r="F480" s="4">
        <f>C480</f>
        <v>13359.82</v>
      </c>
      <c r="G480" s="4">
        <v>13359.82</v>
      </c>
      <c r="H480" s="4">
        <f t="shared" ref="H480:H485" si="37">C480-G480</f>
        <v>0</v>
      </c>
      <c r="J480" s="4"/>
    </row>
    <row r="481" spans="2:12" x14ac:dyDescent="0.25">
      <c r="B481" s="5" t="s">
        <v>524</v>
      </c>
      <c r="C481" s="4">
        <v>-1760.34</v>
      </c>
      <c r="F481" s="4">
        <v>-1760.34</v>
      </c>
      <c r="G481" s="4">
        <v>-1760.34</v>
      </c>
      <c r="H481" s="4">
        <f t="shared" si="37"/>
        <v>0</v>
      </c>
      <c r="L481" s="4"/>
    </row>
    <row r="482" spans="2:12" x14ac:dyDescent="0.25">
      <c r="B482" s="5" t="s">
        <v>525</v>
      </c>
      <c r="C482" s="4">
        <v>-1241.69</v>
      </c>
      <c r="F482" s="4">
        <v>-1241.69</v>
      </c>
      <c r="G482" s="4">
        <v>-1241.69</v>
      </c>
      <c r="H482" s="4">
        <f t="shared" si="37"/>
        <v>0</v>
      </c>
    </row>
    <row r="483" spans="2:12" x14ac:dyDescent="0.25">
      <c r="B483" s="8" t="s">
        <v>382</v>
      </c>
      <c r="C483" s="5">
        <v>774.44</v>
      </c>
      <c r="E483" s="4"/>
      <c r="F483" s="4">
        <v>774.44</v>
      </c>
      <c r="G483" s="4">
        <f>E483+F483</f>
        <v>774.44</v>
      </c>
      <c r="H483" s="4">
        <f t="shared" si="37"/>
        <v>0</v>
      </c>
      <c r="L483" s="4"/>
    </row>
    <row r="484" spans="2:12" x14ac:dyDescent="0.25">
      <c r="B484" s="8" t="s">
        <v>439</v>
      </c>
      <c r="C484" s="5">
        <v>586.85</v>
      </c>
      <c r="D484" s="5">
        <v>100</v>
      </c>
      <c r="E484" s="4">
        <v>0</v>
      </c>
      <c r="F484" s="4">
        <v>586.85</v>
      </c>
      <c r="G484" s="4">
        <f>E484+F484</f>
        <v>586.85</v>
      </c>
      <c r="H484" s="4">
        <f t="shared" si="37"/>
        <v>0</v>
      </c>
    </row>
    <row r="485" spans="2:12" x14ac:dyDescent="0.25">
      <c r="B485" s="8" t="s">
        <v>440</v>
      </c>
      <c r="C485" s="10">
        <v>768.6</v>
      </c>
      <c r="D485" s="8">
        <v>100</v>
      </c>
      <c r="E485" s="10">
        <v>0</v>
      </c>
      <c r="F485" s="10">
        <v>768.6</v>
      </c>
      <c r="G485" s="10">
        <f>E485+F485</f>
        <v>768.6</v>
      </c>
      <c r="H485" s="10">
        <f t="shared" si="37"/>
        <v>0</v>
      </c>
    </row>
    <row r="486" spans="2:12" x14ac:dyDescent="0.25">
      <c r="B486" s="8" t="s">
        <v>532</v>
      </c>
      <c r="C486" s="10">
        <v>-15</v>
      </c>
      <c r="D486" s="8"/>
      <c r="E486" s="10"/>
      <c r="F486" s="10"/>
      <c r="G486" s="10"/>
      <c r="H486" s="10"/>
    </row>
    <row r="487" spans="2:12" x14ac:dyDescent="0.25">
      <c r="B487" s="37" t="s">
        <v>531</v>
      </c>
      <c r="C487" s="10">
        <v>-24.96</v>
      </c>
      <c r="D487" s="8"/>
      <c r="E487" s="10"/>
      <c r="F487" s="10">
        <v>-24.96</v>
      </c>
      <c r="G487" s="10">
        <v>-24.96</v>
      </c>
      <c r="H487" s="10"/>
    </row>
    <row r="488" spans="2:12" x14ac:dyDescent="0.25">
      <c r="B488" s="37" t="s">
        <v>533</v>
      </c>
      <c r="C488" s="10">
        <v>15</v>
      </c>
      <c r="D488" s="8"/>
      <c r="E488" s="10"/>
      <c r="F488" s="10"/>
      <c r="G488" s="10"/>
      <c r="H488" s="10"/>
    </row>
    <row r="489" spans="2:12" x14ac:dyDescent="0.25">
      <c r="B489" s="37" t="s">
        <v>534</v>
      </c>
      <c r="C489" s="10">
        <f>324.59+71.41</f>
        <v>396</v>
      </c>
      <c r="D489" s="8">
        <v>100</v>
      </c>
      <c r="E489" s="10">
        <v>0</v>
      </c>
      <c r="F489" s="10">
        <v>396</v>
      </c>
      <c r="G489" s="10">
        <f>E489+F489</f>
        <v>396</v>
      </c>
      <c r="H489" s="10">
        <f>C489-G489</f>
        <v>0</v>
      </c>
    </row>
    <row r="490" spans="2:12" x14ac:dyDescent="0.25">
      <c r="B490" s="37" t="s">
        <v>535</v>
      </c>
      <c r="C490" s="12">
        <v>366</v>
      </c>
      <c r="D490" s="22">
        <v>100</v>
      </c>
      <c r="E490" s="12">
        <v>0</v>
      </c>
      <c r="F490" s="12">
        <v>366</v>
      </c>
      <c r="G490" s="12">
        <f>E490+F490</f>
        <v>366</v>
      </c>
      <c r="H490" s="12">
        <f>C490-G490</f>
        <v>0</v>
      </c>
    </row>
    <row r="491" spans="2:12" x14ac:dyDescent="0.25">
      <c r="B491" s="5" t="s">
        <v>332</v>
      </c>
      <c r="C491" s="4">
        <f>SUM(C480:C490)</f>
        <v>13224.720000000001</v>
      </c>
      <c r="E491" s="4">
        <f>SUM(E480:E485)</f>
        <v>0</v>
      </c>
      <c r="F491" s="4">
        <f>SUM(F480:F487)</f>
        <v>12462.720000000001</v>
      </c>
      <c r="G491" s="4">
        <f>SUM(G480:G485)</f>
        <v>12487.68</v>
      </c>
      <c r="H491" s="4">
        <f>SUM(H480:H485)</f>
        <v>0</v>
      </c>
    </row>
    <row r="492" spans="2:12" x14ac:dyDescent="0.25">
      <c r="B492" s="5" t="s">
        <v>333</v>
      </c>
    </row>
    <row r="493" spans="2:12" x14ac:dyDescent="0.25">
      <c r="B493" s="5" t="s">
        <v>508</v>
      </c>
    </row>
    <row r="494" spans="2:12" x14ac:dyDescent="0.25">
      <c r="B494" s="8" t="s">
        <v>438</v>
      </c>
      <c r="C494" s="12">
        <v>54.9</v>
      </c>
      <c r="D494" s="22"/>
      <c r="E494" s="12"/>
      <c r="F494" s="12">
        <v>54.9</v>
      </c>
      <c r="G494" s="12">
        <f>E494+F494</f>
        <v>54.9</v>
      </c>
      <c r="H494" s="12">
        <f>C494-G494</f>
        <v>0</v>
      </c>
    </row>
    <row r="495" spans="2:12" x14ac:dyDescent="0.25">
      <c r="B495" s="5" t="s">
        <v>192</v>
      </c>
      <c r="C495" s="4">
        <f>SUM(C491:C494)</f>
        <v>13279.62</v>
      </c>
      <c r="E495" s="4">
        <f>SUM(E491:E494)</f>
        <v>0</v>
      </c>
      <c r="F495" s="4">
        <f>SUM(F491:F494)</f>
        <v>12517.62</v>
      </c>
      <c r="G495" s="4">
        <f>SUM(G491:G494)</f>
        <v>12542.58</v>
      </c>
      <c r="H495" s="4">
        <f>SUM(H491:H494)</f>
        <v>0</v>
      </c>
    </row>
    <row r="497" spans="2:8" x14ac:dyDescent="0.25">
      <c r="B497" s="5" t="s">
        <v>517</v>
      </c>
    </row>
    <row r="498" spans="2:8" x14ac:dyDescent="0.25">
      <c r="B498" s="5" t="s">
        <v>518</v>
      </c>
      <c r="C498" s="5">
        <v>722.48</v>
      </c>
      <c r="F498" s="5">
        <v>722.48</v>
      </c>
      <c r="G498" s="5">
        <v>722.48</v>
      </c>
      <c r="H498" s="4">
        <f>C498-G498</f>
        <v>0</v>
      </c>
    </row>
    <row r="499" spans="2:8" x14ac:dyDescent="0.25">
      <c r="B499" s="5" t="s">
        <v>523</v>
      </c>
      <c r="C499" s="4">
        <v>350.4</v>
      </c>
      <c r="F499" s="4">
        <v>350.4</v>
      </c>
      <c r="G499" s="4">
        <v>350.4</v>
      </c>
      <c r="H499" s="4">
        <f>C499-G499</f>
        <v>0</v>
      </c>
    </row>
    <row r="500" spans="2:8" x14ac:dyDescent="0.25">
      <c r="B500" s="5" t="s">
        <v>521</v>
      </c>
      <c r="F500" s="4"/>
      <c r="G500" s="4"/>
      <c r="H500" s="4">
        <f>C500-G500</f>
        <v>0</v>
      </c>
    </row>
    <row r="501" spans="2:8" x14ac:dyDescent="0.25">
      <c r="B501" s="5" t="s">
        <v>519</v>
      </c>
      <c r="C501" s="12">
        <v>324</v>
      </c>
      <c r="D501" s="22"/>
      <c r="E501" s="22"/>
      <c r="F501" s="12">
        <v>324</v>
      </c>
      <c r="G501" s="12">
        <v>324</v>
      </c>
      <c r="H501" s="12">
        <f>C501-G501</f>
        <v>0</v>
      </c>
    </row>
    <row r="502" spans="2:8" x14ac:dyDescent="0.25">
      <c r="B502" s="5" t="s">
        <v>526</v>
      </c>
      <c r="C502" s="4">
        <f>SUM(C498:C501)</f>
        <v>1396.88</v>
      </c>
      <c r="F502" s="4">
        <f>SUM(F498:F501)</f>
        <v>1396.88</v>
      </c>
      <c r="G502" s="4">
        <f>SUM(G498:G501)</f>
        <v>1396.88</v>
      </c>
      <c r="H502" s="4">
        <f>SUM(H498:H501)</f>
        <v>0</v>
      </c>
    </row>
    <row r="503" spans="2:8" x14ac:dyDescent="0.25">
      <c r="C503" s="4"/>
      <c r="F503" s="4"/>
      <c r="G503" s="4"/>
      <c r="H503" s="4"/>
    </row>
    <row r="504" spans="2:8" x14ac:dyDescent="0.25">
      <c r="C504" s="4"/>
      <c r="F504" s="4"/>
      <c r="G504" s="4"/>
      <c r="H504" s="4"/>
    </row>
    <row r="505" spans="2:8" x14ac:dyDescent="0.25">
      <c r="B505" s="5" t="s">
        <v>217</v>
      </c>
      <c r="C505" s="4" t="s">
        <v>216</v>
      </c>
      <c r="E505" s="15"/>
      <c r="F505" s="16"/>
      <c r="H505" s="4"/>
    </row>
    <row r="506" spans="2:8" x14ac:dyDescent="0.25">
      <c r="B506" s="5" t="s">
        <v>546</v>
      </c>
      <c r="C506" s="4"/>
      <c r="D506" s="4"/>
      <c r="E506" s="4"/>
      <c r="F506" s="4"/>
      <c r="G506" s="4"/>
      <c r="H506" s="4"/>
    </row>
    <row r="507" spans="2:8" x14ac:dyDescent="0.25">
      <c r="B507" s="5" t="s">
        <v>528</v>
      </c>
      <c r="C507" s="5" t="s">
        <v>9</v>
      </c>
      <c r="D507" s="5" t="s">
        <v>10</v>
      </c>
      <c r="E507" s="5" t="s">
        <v>1</v>
      </c>
      <c r="F507" s="5" t="s">
        <v>2</v>
      </c>
      <c r="G507" s="5" t="s">
        <v>3</v>
      </c>
      <c r="H507" s="5" t="s">
        <v>5</v>
      </c>
    </row>
    <row r="508" spans="2:8" x14ac:dyDescent="0.25">
      <c r="B508" s="5" t="s">
        <v>527</v>
      </c>
      <c r="C508" s="4">
        <f>C502</f>
        <v>1396.88</v>
      </c>
      <c r="F508" s="4">
        <f>F502</f>
        <v>1396.88</v>
      </c>
      <c r="G508" s="4">
        <f>G502</f>
        <v>1396.88</v>
      </c>
      <c r="H508" s="4">
        <f>H502</f>
        <v>0</v>
      </c>
    </row>
    <row r="509" spans="2:8" x14ac:dyDescent="0.25">
      <c r="B509" s="5" t="s">
        <v>520</v>
      </c>
      <c r="H509" s="4"/>
    </row>
    <row r="510" spans="2:8" x14ac:dyDescent="0.25">
      <c r="B510" s="5" t="s">
        <v>522</v>
      </c>
      <c r="C510" s="4">
        <v>363.46</v>
      </c>
      <c r="F510" s="4">
        <v>363.46</v>
      </c>
      <c r="G510" s="4">
        <v>363.46</v>
      </c>
      <c r="H510" s="4">
        <f>C510-G510</f>
        <v>0</v>
      </c>
    </row>
    <row r="511" spans="2:8" x14ac:dyDescent="0.25">
      <c r="B511" s="8" t="s">
        <v>510</v>
      </c>
      <c r="C511" s="5" t="s">
        <v>436</v>
      </c>
      <c r="D511" s="4"/>
      <c r="E511" s="4"/>
      <c r="F511" s="4"/>
      <c r="G511" s="4"/>
      <c r="H511" s="4"/>
    </row>
    <row r="512" spans="2:8" x14ac:dyDescent="0.25">
      <c r="B512" s="8" t="s">
        <v>365</v>
      </c>
      <c r="C512" s="4">
        <v>54.9</v>
      </c>
      <c r="E512" s="4"/>
      <c r="F512" s="4">
        <v>54.9</v>
      </c>
      <c r="G512" s="4">
        <f>E512+F512</f>
        <v>54.9</v>
      </c>
      <c r="H512" s="4">
        <f>C512-G512</f>
        <v>0</v>
      </c>
    </row>
    <row r="513" spans="1:12" x14ac:dyDescent="0.25">
      <c r="B513" s="5" t="s">
        <v>437</v>
      </c>
      <c r="C513" s="12">
        <v>-54.9</v>
      </c>
      <c r="D513" s="22"/>
      <c r="E513" s="12"/>
      <c r="F513" s="12">
        <v>-54.9</v>
      </c>
      <c r="G513" s="12">
        <f>E513+F513</f>
        <v>-54.9</v>
      </c>
      <c r="H513" s="12">
        <f>C513-G513</f>
        <v>0</v>
      </c>
    </row>
    <row r="514" spans="1:12" x14ac:dyDescent="0.25">
      <c r="B514" s="5" t="s">
        <v>193</v>
      </c>
      <c r="C514" s="4">
        <f>SUM(C508:C513)</f>
        <v>1760.3400000000001</v>
      </c>
      <c r="E514" s="4"/>
      <c r="F514" s="4">
        <f>SUM(F508:F513)</f>
        <v>1760.3400000000001</v>
      </c>
      <c r="G514" s="4">
        <f>SUM(G508:G513)</f>
        <v>1760.3400000000001</v>
      </c>
      <c r="H514" s="4">
        <f>SUM(H508:H513)</f>
        <v>0</v>
      </c>
    </row>
    <row r="516" spans="1:12" x14ac:dyDescent="0.25">
      <c r="B516" s="5" t="s">
        <v>514</v>
      </c>
    </row>
    <row r="517" spans="1:12" x14ac:dyDescent="0.25">
      <c r="B517" s="5" t="s">
        <v>513</v>
      </c>
      <c r="C517" s="4">
        <v>978.2</v>
      </c>
      <c r="F517" s="4">
        <v>978.2</v>
      </c>
      <c r="G517" s="4">
        <v>978.2</v>
      </c>
      <c r="H517" s="4">
        <v>0</v>
      </c>
    </row>
    <row r="518" spans="1:12" x14ac:dyDescent="0.25">
      <c r="B518" s="5" t="s">
        <v>515</v>
      </c>
    </row>
    <row r="519" spans="1:12" x14ac:dyDescent="0.25">
      <c r="B519" s="5" t="s">
        <v>516</v>
      </c>
      <c r="C519" s="5">
        <v>263.49</v>
      </c>
      <c r="F519" s="5">
        <v>263.49</v>
      </c>
      <c r="G519" s="5">
        <v>263.49</v>
      </c>
      <c r="H519" s="4">
        <v>0</v>
      </c>
    </row>
    <row r="520" spans="1:12" x14ac:dyDescent="0.25">
      <c r="B520" s="8" t="s">
        <v>509</v>
      </c>
      <c r="E520" s="4"/>
    </row>
    <row r="521" spans="1:12" x14ac:dyDescent="0.25">
      <c r="B521" s="8" t="s">
        <v>366</v>
      </c>
      <c r="C521" s="22">
        <v>163.35</v>
      </c>
      <c r="D521" s="22"/>
      <c r="E521" s="12"/>
      <c r="F521" s="12">
        <v>163.35</v>
      </c>
      <c r="G521" s="12">
        <f>E521+F521</f>
        <v>163.35</v>
      </c>
      <c r="H521" s="12">
        <f>C521-G521</f>
        <v>0</v>
      </c>
    </row>
    <row r="522" spans="1:12" x14ac:dyDescent="0.25">
      <c r="B522" s="5" t="s">
        <v>196</v>
      </c>
      <c r="C522" s="4">
        <f>SUM(C516:C521)</f>
        <v>1405.04</v>
      </c>
      <c r="E522" s="4"/>
      <c r="F522" s="4">
        <f>SUM(F517:F521)</f>
        <v>1405.04</v>
      </c>
      <c r="G522" s="4">
        <f>SUM(G517:G521)</f>
        <v>1405.04</v>
      </c>
      <c r="H522" s="4">
        <f>SUM(H517:H521)</f>
        <v>0</v>
      </c>
    </row>
    <row r="523" spans="1:12" x14ac:dyDescent="0.25">
      <c r="B523" s="5" t="s">
        <v>207</v>
      </c>
      <c r="C523" s="14">
        <f>C495+C514+C522</f>
        <v>16445</v>
      </c>
      <c r="E523" s="14">
        <f>E495+E514+E522</f>
        <v>0</v>
      </c>
      <c r="F523" s="14">
        <f>F495+F514+F522</f>
        <v>15683</v>
      </c>
      <c r="G523" s="14">
        <f>G495+G514+G522</f>
        <v>15707.96</v>
      </c>
      <c r="H523" s="14">
        <f>H495+H514+H522</f>
        <v>0</v>
      </c>
      <c r="L523" s="4"/>
    </row>
    <row r="525" spans="1:12" x14ac:dyDescent="0.25">
      <c r="A525" s="5">
        <v>6</v>
      </c>
      <c r="B525" s="1" t="s">
        <v>269</v>
      </c>
    </row>
    <row r="526" spans="1:12" x14ac:dyDescent="0.25">
      <c r="B526" s="5" t="s">
        <v>441</v>
      </c>
      <c r="C526" s="4">
        <v>10649.51</v>
      </c>
      <c r="E526" s="4">
        <v>0</v>
      </c>
      <c r="F526" s="4">
        <v>10649.51</v>
      </c>
      <c r="G526" s="4">
        <v>10649.51</v>
      </c>
      <c r="H526" s="6">
        <f>C526-G526</f>
        <v>0</v>
      </c>
    </row>
    <row r="527" spans="1:12" x14ac:dyDescent="0.25">
      <c r="B527" s="5" t="s">
        <v>82</v>
      </c>
      <c r="C527" s="12">
        <v>156</v>
      </c>
      <c r="D527" s="12">
        <v>10</v>
      </c>
      <c r="E527" s="12">
        <v>0</v>
      </c>
      <c r="F527" s="12">
        <v>156</v>
      </c>
      <c r="G527" s="12">
        <f>E527+F527</f>
        <v>156</v>
      </c>
      <c r="H527" s="7">
        <f>C527-G527</f>
        <v>0</v>
      </c>
    </row>
    <row r="528" spans="1:12" x14ac:dyDescent="0.25">
      <c r="B528" s="5" t="s">
        <v>330</v>
      </c>
      <c r="C528" s="4">
        <f>SUM(C526:C527)</f>
        <v>10805.51</v>
      </c>
      <c r="E528" s="4">
        <f>SUM(E526:E527)</f>
        <v>0</v>
      </c>
      <c r="F528" s="4">
        <f>SUM(F526:F527)</f>
        <v>10805.51</v>
      </c>
      <c r="G528" s="4">
        <f>SUM(G526:G527)</f>
        <v>10805.51</v>
      </c>
      <c r="H528" s="6">
        <f>C528-G528</f>
        <v>0</v>
      </c>
    </row>
    <row r="529" spans="2:8" x14ac:dyDescent="0.25">
      <c r="B529" s="5" t="s">
        <v>331</v>
      </c>
      <c r="C529" s="4">
        <v>1046</v>
      </c>
      <c r="D529" s="4">
        <v>10</v>
      </c>
      <c r="E529" s="23">
        <f>ROUND(C529*D529/100,2)</f>
        <v>104.6</v>
      </c>
      <c r="F529" s="4">
        <f>815.88+125.52</f>
        <v>941.4</v>
      </c>
      <c r="G529" s="4">
        <f>E529+F529</f>
        <v>1046</v>
      </c>
      <c r="H529" s="6">
        <f>C529-G529</f>
        <v>0</v>
      </c>
    </row>
    <row r="530" spans="2:8" x14ac:dyDescent="0.25">
      <c r="B530" s="5" t="s">
        <v>536</v>
      </c>
      <c r="C530" s="4">
        <v>-70</v>
      </c>
      <c r="D530" s="4"/>
      <c r="E530" s="23"/>
      <c r="F530" s="4"/>
      <c r="G530" s="4"/>
      <c r="H530" s="4"/>
    </row>
    <row r="531" spans="2:8" x14ac:dyDescent="0.25">
      <c r="B531" s="21" t="s">
        <v>529</v>
      </c>
      <c r="C531" s="4">
        <v>-69.72</v>
      </c>
      <c r="D531" s="4"/>
      <c r="E531" s="23"/>
      <c r="F531" s="4"/>
      <c r="G531" s="4"/>
      <c r="H531" s="4"/>
    </row>
    <row r="532" spans="2:8" x14ac:dyDescent="0.25">
      <c r="B532" s="21" t="s">
        <v>538</v>
      </c>
      <c r="C532" s="4">
        <v>80</v>
      </c>
      <c r="D532" s="4"/>
      <c r="E532" s="23"/>
      <c r="F532" s="4"/>
      <c r="G532" s="4"/>
      <c r="H532" s="4"/>
    </row>
    <row r="533" spans="2:8" x14ac:dyDescent="0.25">
      <c r="B533" s="5" t="s">
        <v>239</v>
      </c>
      <c r="C533" s="4">
        <v>1680</v>
      </c>
      <c r="D533" s="4">
        <v>12</v>
      </c>
      <c r="E533" s="23">
        <f>ROUND(C533*D533/100,2)</f>
        <v>201.6</v>
      </c>
      <c r="F533" s="4">
        <f>504+E533</f>
        <v>705.6</v>
      </c>
      <c r="G533" s="4">
        <f t="shared" ref="G533:G541" si="38">E533+F533</f>
        <v>907.2</v>
      </c>
      <c r="H533" s="4">
        <f>C533-G533</f>
        <v>772.8</v>
      </c>
    </row>
    <row r="534" spans="2:8" x14ac:dyDescent="0.25">
      <c r="B534" s="5" t="s">
        <v>442</v>
      </c>
      <c r="C534" s="5" t="s">
        <v>444</v>
      </c>
      <c r="E534" s="23"/>
      <c r="G534" s="4"/>
      <c r="H534" s="4"/>
    </row>
    <row r="535" spans="2:8" x14ac:dyDescent="0.25">
      <c r="B535" s="5" t="s">
        <v>443</v>
      </c>
      <c r="C535" s="4">
        <v>5069.1000000000004</v>
      </c>
      <c r="D535" s="4">
        <v>12</v>
      </c>
      <c r="E535" s="23">
        <f t="shared" ref="E535:E541" si="39">ROUND(C535*D535/100,2)</f>
        <v>608.29</v>
      </c>
      <c r="F535" s="4">
        <f>+E535+304.15</f>
        <v>912.43999999999994</v>
      </c>
      <c r="G535" s="4">
        <f t="shared" si="38"/>
        <v>1520.73</v>
      </c>
      <c r="H535" s="4">
        <f t="shared" ref="H535:H541" si="40">C535-G535</f>
        <v>3548.3700000000003</v>
      </c>
    </row>
    <row r="536" spans="2:8" x14ac:dyDescent="0.25">
      <c r="B536" s="5" t="s">
        <v>445</v>
      </c>
      <c r="C536" s="4">
        <v>475.8</v>
      </c>
      <c r="D536" s="4">
        <v>12</v>
      </c>
      <c r="E536" s="23">
        <f t="shared" si="39"/>
        <v>57.1</v>
      </c>
      <c r="F536" s="4">
        <f>28.55+E536</f>
        <v>85.65</v>
      </c>
      <c r="G536" s="4">
        <f t="shared" si="38"/>
        <v>142.75</v>
      </c>
      <c r="H536" s="4">
        <f t="shared" si="40"/>
        <v>333.05</v>
      </c>
    </row>
    <row r="537" spans="2:8" x14ac:dyDescent="0.25">
      <c r="B537" s="5" t="s">
        <v>446</v>
      </c>
      <c r="C537" s="4">
        <v>103.7</v>
      </c>
      <c r="D537" s="4">
        <v>12</v>
      </c>
      <c r="E537" s="23">
        <f t="shared" si="39"/>
        <v>12.44</v>
      </c>
      <c r="F537" s="4">
        <f>6.22+E537</f>
        <v>18.66</v>
      </c>
      <c r="G537" s="4">
        <f t="shared" si="38"/>
        <v>31.1</v>
      </c>
      <c r="H537" s="4">
        <f t="shared" si="40"/>
        <v>72.599999999999994</v>
      </c>
    </row>
    <row r="538" spans="2:8" x14ac:dyDescent="0.25">
      <c r="B538" s="5" t="s">
        <v>447</v>
      </c>
      <c r="C538" s="4">
        <v>847.9</v>
      </c>
      <c r="D538" s="4">
        <v>12</v>
      </c>
      <c r="E538" s="23">
        <f t="shared" si="39"/>
        <v>101.75</v>
      </c>
      <c r="F538" s="4">
        <f>50.87+E538</f>
        <v>152.62</v>
      </c>
      <c r="G538" s="4">
        <f t="shared" si="38"/>
        <v>254.37</v>
      </c>
      <c r="H538" s="4">
        <f t="shared" si="40"/>
        <v>593.53</v>
      </c>
    </row>
    <row r="539" spans="2:8" x14ac:dyDescent="0.25">
      <c r="B539" s="5" t="s">
        <v>448</v>
      </c>
      <c r="C539" s="4">
        <v>341.6</v>
      </c>
      <c r="D539" s="4">
        <v>12</v>
      </c>
      <c r="E539" s="23">
        <f t="shared" si="39"/>
        <v>40.99</v>
      </c>
      <c r="F539" s="4">
        <f>20.5+E539</f>
        <v>61.49</v>
      </c>
      <c r="G539" s="4">
        <f t="shared" si="38"/>
        <v>102.48</v>
      </c>
      <c r="H539" s="4">
        <f t="shared" si="40"/>
        <v>239.12</v>
      </c>
    </row>
    <row r="540" spans="2:8" x14ac:dyDescent="0.25">
      <c r="B540" s="5" t="s">
        <v>449</v>
      </c>
      <c r="C540" s="4">
        <v>73.2</v>
      </c>
      <c r="D540" s="4">
        <v>12</v>
      </c>
      <c r="E540" s="23">
        <f t="shared" si="39"/>
        <v>8.7799999999999994</v>
      </c>
      <c r="F540" s="4">
        <f>4.39+E540</f>
        <v>13.169999999999998</v>
      </c>
      <c r="G540" s="4">
        <f t="shared" si="38"/>
        <v>21.949999999999996</v>
      </c>
      <c r="H540" s="4">
        <f t="shared" si="40"/>
        <v>51.250000000000007</v>
      </c>
    </row>
    <row r="541" spans="2:8" x14ac:dyDescent="0.25">
      <c r="B541" s="5" t="s">
        <v>450</v>
      </c>
      <c r="C541" s="10">
        <v>61</v>
      </c>
      <c r="D541" s="10">
        <v>12</v>
      </c>
      <c r="E541" s="18">
        <f t="shared" si="39"/>
        <v>7.32</v>
      </c>
      <c r="F541" s="10">
        <f>3.66+E541</f>
        <v>10.98</v>
      </c>
      <c r="G541" s="10">
        <f t="shared" si="38"/>
        <v>18.3</v>
      </c>
      <c r="H541" s="12">
        <f t="shared" si="40"/>
        <v>42.7</v>
      </c>
    </row>
    <row r="542" spans="2:8" x14ac:dyDescent="0.25">
      <c r="B542" s="5" t="s">
        <v>332</v>
      </c>
      <c r="C542" s="4">
        <f>SUM(C528:C541)</f>
        <v>20444.09</v>
      </c>
      <c r="E542" s="4">
        <f>SUM(E528:E541)</f>
        <v>1142.8700000000001</v>
      </c>
      <c r="F542" s="4">
        <f>SUM(F528:F541)</f>
        <v>13707.52</v>
      </c>
      <c r="G542" s="4">
        <f>SUM(G528:G541)</f>
        <v>14850.390000000001</v>
      </c>
      <c r="H542" s="4">
        <f>SUM(H528:H541)</f>
        <v>5653.42</v>
      </c>
    </row>
    <row r="543" spans="2:8" x14ac:dyDescent="0.25">
      <c r="B543" s="5" t="s">
        <v>333</v>
      </c>
      <c r="C543" s="8"/>
      <c r="D543" s="8"/>
      <c r="E543" s="8"/>
      <c r="F543" s="8"/>
      <c r="G543" s="8"/>
      <c r="H543" s="8"/>
    </row>
    <row r="544" spans="2:8" x14ac:dyDescent="0.25">
      <c r="B544" s="5" t="s">
        <v>481</v>
      </c>
    </row>
    <row r="545" spans="2:8" x14ac:dyDescent="0.25">
      <c r="B545" s="5" t="s">
        <v>499</v>
      </c>
      <c r="C545" s="4">
        <v>1644</v>
      </c>
      <c r="D545" s="4">
        <v>12</v>
      </c>
      <c r="E545" s="8">
        <f>ROUND(C545*D545/100,2)</f>
        <v>197.28</v>
      </c>
      <c r="F545" s="8">
        <f>591.84+E545</f>
        <v>789.12</v>
      </c>
      <c r="G545" s="4">
        <f>E545+F545</f>
        <v>986.4</v>
      </c>
      <c r="H545" s="4">
        <f>C545-G545</f>
        <v>657.6</v>
      </c>
    </row>
    <row r="546" spans="2:8" x14ac:dyDescent="0.25">
      <c r="B546" s="5" t="s">
        <v>537</v>
      </c>
      <c r="C546" s="4">
        <v>-10</v>
      </c>
      <c r="D546" s="4"/>
      <c r="E546" s="8"/>
      <c r="F546" s="8"/>
      <c r="G546" s="4"/>
      <c r="H546" s="4"/>
    </row>
    <row r="547" spans="2:8" x14ac:dyDescent="0.25">
      <c r="B547" s="21" t="s">
        <v>529</v>
      </c>
      <c r="C547" s="4">
        <v>-38.200000000000003</v>
      </c>
      <c r="D547" s="4"/>
      <c r="E547" s="8"/>
      <c r="F547" s="8"/>
      <c r="G547" s="4"/>
      <c r="H547" s="4"/>
    </row>
    <row r="548" spans="2:8" x14ac:dyDescent="0.25">
      <c r="B548" s="5" t="s">
        <v>498</v>
      </c>
      <c r="C548" s="4">
        <v>2299</v>
      </c>
      <c r="D548" s="4">
        <v>12</v>
      </c>
      <c r="E548" s="5">
        <f>ROUND(C548*D548/100,2)</f>
        <v>275.88</v>
      </c>
      <c r="F548" s="5">
        <f>827.64+E548</f>
        <v>1103.52</v>
      </c>
      <c r="G548" s="4">
        <f>E548+F548</f>
        <v>1379.4</v>
      </c>
      <c r="H548" s="4">
        <f>C548-G548</f>
        <v>919.59999999999991</v>
      </c>
    </row>
    <row r="549" spans="2:8" x14ac:dyDescent="0.25">
      <c r="B549" s="5" t="s">
        <v>500</v>
      </c>
    </row>
    <row r="550" spans="2:8" x14ac:dyDescent="0.25">
      <c r="B550" s="5" t="s">
        <v>501</v>
      </c>
      <c r="C550" s="4">
        <v>1200</v>
      </c>
      <c r="D550" s="4">
        <v>12</v>
      </c>
      <c r="E550" s="4">
        <f>ROUND(C550*D550/100,2)</f>
        <v>144</v>
      </c>
      <c r="F550" s="4">
        <f>432+E550</f>
        <v>576</v>
      </c>
      <c r="G550" s="4">
        <f>E550+F550</f>
        <v>720</v>
      </c>
      <c r="H550" s="4">
        <f>C550-G550</f>
        <v>480</v>
      </c>
    </row>
    <row r="551" spans="2:8" x14ac:dyDescent="0.25">
      <c r="B551" s="5" t="s">
        <v>502</v>
      </c>
      <c r="C551" s="4">
        <v>300</v>
      </c>
      <c r="D551" s="4">
        <v>12</v>
      </c>
      <c r="E551" s="4">
        <f>ROUND(C551*D551/100,2)</f>
        <v>36</v>
      </c>
      <c r="F551" s="4">
        <f>108+E551</f>
        <v>144</v>
      </c>
      <c r="G551" s="4">
        <f>E551+F551</f>
        <v>180</v>
      </c>
      <c r="H551" s="4">
        <f>C551-G551</f>
        <v>120</v>
      </c>
    </row>
    <row r="552" spans="2:8" x14ac:dyDescent="0.25">
      <c r="B552" s="5" t="s">
        <v>503</v>
      </c>
      <c r="C552" s="4">
        <v>500</v>
      </c>
      <c r="D552" s="4">
        <v>12</v>
      </c>
      <c r="E552" s="4">
        <f>ROUND(C552*D552/100,2)</f>
        <v>60</v>
      </c>
      <c r="F552" s="4">
        <f>180+E552</f>
        <v>240</v>
      </c>
      <c r="G552" s="4">
        <f>E552+F552</f>
        <v>300</v>
      </c>
      <c r="H552" s="4">
        <f>C552-G552</f>
        <v>200</v>
      </c>
    </row>
    <row r="553" spans="2:8" x14ac:dyDescent="0.25">
      <c r="B553" s="5" t="s">
        <v>482</v>
      </c>
    </row>
    <row r="554" spans="2:8" x14ac:dyDescent="0.25">
      <c r="B554" s="5" t="s">
        <v>483</v>
      </c>
      <c r="C554" s="12">
        <v>61</v>
      </c>
      <c r="D554" s="22"/>
      <c r="E554" s="20">
        <v>0</v>
      </c>
      <c r="F554" s="12">
        <v>61</v>
      </c>
      <c r="G554" s="12">
        <v>61</v>
      </c>
      <c r="H554" s="20">
        <v>0</v>
      </c>
    </row>
    <row r="555" spans="2:8" x14ac:dyDescent="0.25">
      <c r="B555" s="5" t="s">
        <v>192</v>
      </c>
      <c r="C555" s="4">
        <f>SUM(C542:C554)</f>
        <v>26399.89</v>
      </c>
      <c r="E555" s="4">
        <f>SUM(E542:E554)</f>
        <v>1856.0300000000002</v>
      </c>
      <c r="F555" s="4">
        <f>SUM(F542:F554)</f>
        <v>16621.160000000003</v>
      </c>
      <c r="G555" s="4">
        <f>SUM(G542:G554)</f>
        <v>18477.190000000002</v>
      </c>
      <c r="H555" s="4">
        <f>SUM(H542:H554)</f>
        <v>8030.6200000000008</v>
      </c>
    </row>
    <row r="560" spans="2:8" x14ac:dyDescent="0.25">
      <c r="C560" s="4"/>
      <c r="D560" s="4"/>
      <c r="E560" s="4"/>
      <c r="F560" s="4"/>
      <c r="G560" s="4"/>
      <c r="H560" s="4"/>
    </row>
    <row r="561" spans="2:8" x14ac:dyDescent="0.25">
      <c r="B561" s="5" t="s">
        <v>217</v>
      </c>
      <c r="C561" s="4" t="s">
        <v>216</v>
      </c>
      <c r="E561" s="15"/>
      <c r="F561" s="16"/>
      <c r="H561" s="4"/>
    </row>
    <row r="562" spans="2:8" x14ac:dyDescent="0.25">
      <c r="B562" s="5" t="s">
        <v>546</v>
      </c>
      <c r="C562" s="4"/>
      <c r="D562" s="4"/>
      <c r="E562" s="4"/>
      <c r="F562" s="4"/>
      <c r="G562" s="4"/>
      <c r="H562" s="4"/>
    </row>
    <row r="563" spans="2:8" x14ac:dyDescent="0.25">
      <c r="B563" s="5" t="s">
        <v>453</v>
      </c>
      <c r="C563" s="5" t="s">
        <v>9</v>
      </c>
      <c r="D563" s="5" t="s">
        <v>10</v>
      </c>
      <c r="E563" s="5" t="s">
        <v>1</v>
      </c>
      <c r="F563" s="5" t="s">
        <v>2</v>
      </c>
      <c r="G563" s="5" t="s">
        <v>3</v>
      </c>
      <c r="H563" s="5" t="s">
        <v>5</v>
      </c>
    </row>
    <row r="564" spans="2:8" x14ac:dyDescent="0.25">
      <c r="B564" s="5" t="s">
        <v>11</v>
      </c>
      <c r="C564" s="4"/>
      <c r="E564" s="23"/>
      <c r="F564" s="4"/>
      <c r="G564" s="4"/>
      <c r="H564" s="4"/>
    </row>
    <row r="565" spans="2:8" x14ac:dyDescent="0.25">
      <c r="B565" s="5" t="s">
        <v>12</v>
      </c>
      <c r="C565" s="4">
        <v>115.17</v>
      </c>
      <c r="D565" s="4"/>
      <c r="E565" s="4">
        <f>ROUND(C565*D565/100,2)</f>
        <v>0</v>
      </c>
      <c r="F565" s="4">
        <v>115.17</v>
      </c>
      <c r="G565" s="4">
        <f>E565+F565</f>
        <v>115.17</v>
      </c>
      <c r="H565" s="4">
        <f>C565-G565</f>
        <v>0</v>
      </c>
    </row>
    <row r="566" spans="2:8" x14ac:dyDescent="0.25">
      <c r="B566" s="5" t="s">
        <v>14</v>
      </c>
      <c r="C566" s="4">
        <v>120</v>
      </c>
      <c r="D566" s="4"/>
      <c r="E566" s="4">
        <f>ROUND(C566*D566/100,2)</f>
        <v>0</v>
      </c>
      <c r="F566" s="4">
        <v>120</v>
      </c>
      <c r="G566" s="4">
        <f>E566+F566</f>
        <v>120</v>
      </c>
      <c r="H566" s="4">
        <f>C566-G566</f>
        <v>0</v>
      </c>
    </row>
    <row r="567" spans="2:8" x14ac:dyDescent="0.25">
      <c r="B567" s="5" t="s">
        <v>53</v>
      </c>
      <c r="C567" s="4">
        <v>55.5</v>
      </c>
      <c r="D567" s="4"/>
      <c r="E567" s="4">
        <f>ROUND(C567*D567/100,2)</f>
        <v>0</v>
      </c>
      <c r="F567" s="4">
        <v>55.5</v>
      </c>
      <c r="G567" s="4">
        <f>E567+F567</f>
        <v>55.5</v>
      </c>
      <c r="H567" s="4">
        <f>C567-G567</f>
        <v>0</v>
      </c>
    </row>
    <row r="568" spans="2:8" x14ac:dyDescent="0.25">
      <c r="B568" s="5" t="s">
        <v>15</v>
      </c>
      <c r="C568" s="4"/>
      <c r="D568" s="4"/>
      <c r="E568" s="23"/>
      <c r="F568" s="4"/>
      <c r="G568" s="4"/>
      <c r="H568" s="4"/>
    </row>
    <row r="569" spans="2:8" x14ac:dyDescent="0.25">
      <c r="B569" s="5" t="s">
        <v>14</v>
      </c>
      <c r="C569" s="4">
        <v>120</v>
      </c>
      <c r="D569" s="4"/>
      <c r="E569" s="23">
        <f>ROUND(C569*D569/100,2)</f>
        <v>0</v>
      </c>
      <c r="F569" s="4">
        <v>120</v>
      </c>
      <c r="G569" s="4">
        <f>E569+F569</f>
        <v>120</v>
      </c>
      <c r="H569" s="4">
        <f>C569-G569</f>
        <v>0</v>
      </c>
    </row>
    <row r="570" spans="2:8" x14ac:dyDescent="0.25">
      <c r="B570" s="5" t="s">
        <v>284</v>
      </c>
      <c r="C570" s="4">
        <v>5940</v>
      </c>
      <c r="D570" s="4">
        <v>12</v>
      </c>
      <c r="E570" s="23">
        <f>ROUND(C570*D570/100,2)-0.94</f>
        <v>711.8599999999999</v>
      </c>
      <c r="F570" s="4">
        <f>1782+E570</f>
        <v>2493.8599999999997</v>
      </c>
      <c r="G570" s="4">
        <f>E570+F570</f>
        <v>3205.7199999999993</v>
      </c>
      <c r="H570" s="4">
        <f>C570-G570</f>
        <v>2734.2800000000007</v>
      </c>
    </row>
    <row r="571" spans="2:8" x14ac:dyDescent="0.25">
      <c r="B571" s="5" t="s">
        <v>17</v>
      </c>
      <c r="C571" s="4"/>
      <c r="E571" s="23"/>
      <c r="F571" s="4"/>
      <c r="G571" s="4"/>
      <c r="H571" s="4"/>
    </row>
    <row r="572" spans="2:8" x14ac:dyDescent="0.25">
      <c r="B572" s="5" t="s">
        <v>16</v>
      </c>
      <c r="C572" s="4">
        <v>60.99</v>
      </c>
      <c r="D572" s="4"/>
      <c r="E572" s="23">
        <f>ROUND(C572*D572/100,2)</f>
        <v>0</v>
      </c>
      <c r="F572" s="4">
        <v>60.99</v>
      </c>
      <c r="G572" s="4">
        <f>E572+F572</f>
        <v>60.99</v>
      </c>
      <c r="H572" s="4">
        <f>C572-G572</f>
        <v>0</v>
      </c>
    </row>
    <row r="573" spans="2:8" x14ac:dyDescent="0.25">
      <c r="B573" s="5" t="s">
        <v>381</v>
      </c>
      <c r="C573" s="5" t="s">
        <v>436</v>
      </c>
      <c r="D573" s="4"/>
      <c r="E573" s="4"/>
      <c r="F573" s="4"/>
      <c r="G573" s="4"/>
      <c r="H573" s="4"/>
    </row>
    <row r="574" spans="2:8" x14ac:dyDescent="0.25">
      <c r="B574" s="5" t="s">
        <v>383</v>
      </c>
      <c r="C574" s="4">
        <v>1200</v>
      </c>
      <c r="D574" s="4">
        <v>12</v>
      </c>
      <c r="E574" s="23">
        <f>ROUND(C574*D574/100,2)</f>
        <v>144</v>
      </c>
      <c r="F574" s="4">
        <f>432+E574</f>
        <v>576</v>
      </c>
      <c r="G574" s="4">
        <f>E574+F574</f>
        <v>720</v>
      </c>
      <c r="H574" s="4">
        <f>C574-G574</f>
        <v>480</v>
      </c>
    </row>
    <row r="575" spans="2:8" x14ac:dyDescent="0.25">
      <c r="B575" s="5" t="s">
        <v>385</v>
      </c>
      <c r="C575" s="4">
        <v>300</v>
      </c>
      <c r="D575" s="4">
        <v>12</v>
      </c>
      <c r="E575" s="4">
        <f>C575*D575/100</f>
        <v>36</v>
      </c>
      <c r="F575" s="4">
        <f>108+E575</f>
        <v>144</v>
      </c>
      <c r="G575" s="4">
        <f>E575+F575</f>
        <v>180</v>
      </c>
      <c r="H575" s="4">
        <f>C575-G575</f>
        <v>120</v>
      </c>
    </row>
    <row r="576" spans="2:8" x14ac:dyDescent="0.25">
      <c r="B576" s="5" t="s">
        <v>384</v>
      </c>
      <c r="C576" s="4">
        <v>500</v>
      </c>
      <c r="D576" s="4">
        <v>12</v>
      </c>
      <c r="E576" s="4">
        <f>C576*D576/100</f>
        <v>60</v>
      </c>
      <c r="F576" s="4">
        <f>180+E576</f>
        <v>240</v>
      </c>
      <c r="G576" s="4">
        <f>E576+F576</f>
        <v>300</v>
      </c>
      <c r="H576" s="4">
        <f>C576-G576</f>
        <v>200</v>
      </c>
    </row>
    <row r="577" spans="2:10" x14ac:dyDescent="0.25">
      <c r="B577" s="5" t="s">
        <v>451</v>
      </c>
      <c r="C577" s="12">
        <v>-2000</v>
      </c>
      <c r="D577" s="12"/>
      <c r="E577" s="12">
        <v>-240</v>
      </c>
      <c r="F577" s="12">
        <f>-720+E577</f>
        <v>-960</v>
      </c>
      <c r="G577" s="12">
        <f>E577+F577</f>
        <v>-1200</v>
      </c>
      <c r="H577" s="12">
        <f>C577-G577</f>
        <v>-800</v>
      </c>
    </row>
    <row r="578" spans="2:10" x14ac:dyDescent="0.25">
      <c r="B578" s="5" t="s">
        <v>193</v>
      </c>
      <c r="C578" s="4">
        <f>SUM(C564:C577)</f>
        <v>6411.66</v>
      </c>
      <c r="D578" s="4"/>
      <c r="E578" s="23">
        <f>SUM(E564:E577)</f>
        <v>711.8599999999999</v>
      </c>
      <c r="F578" s="4">
        <f>SUM(F564:F577)</f>
        <v>2965.5199999999995</v>
      </c>
      <c r="G578" s="4">
        <f>SUM(G564:G577)</f>
        <v>3677.3799999999992</v>
      </c>
      <c r="H578" s="4">
        <f>SUM(H564:H577)</f>
        <v>2734.2800000000007</v>
      </c>
    </row>
    <row r="580" spans="2:10" x14ac:dyDescent="0.25">
      <c r="B580" s="5" t="s">
        <v>244</v>
      </c>
    </row>
    <row r="581" spans="2:10" x14ac:dyDescent="0.25">
      <c r="B581" s="5" t="s">
        <v>83</v>
      </c>
      <c r="C581" s="4">
        <v>1380</v>
      </c>
      <c r="D581" s="4"/>
      <c r="E581" s="4">
        <f>C581*D581/100</f>
        <v>0</v>
      </c>
      <c r="F581" s="4">
        <v>1380</v>
      </c>
      <c r="G581" s="4">
        <f>E581+F581</f>
        <v>1380</v>
      </c>
      <c r="H581" s="4">
        <f>C581-G581</f>
        <v>0</v>
      </c>
    </row>
    <row r="582" spans="2:10" x14ac:dyDescent="0.25">
      <c r="B582" s="5" t="s">
        <v>292</v>
      </c>
      <c r="C582" s="4"/>
      <c r="D582" s="4"/>
      <c r="E582" s="4"/>
      <c r="F582" s="4"/>
      <c r="G582" s="4"/>
      <c r="H582" s="4"/>
    </row>
    <row r="583" spans="2:10" x14ac:dyDescent="0.25">
      <c r="B583" s="5" t="s">
        <v>16</v>
      </c>
      <c r="C583" s="4">
        <v>61</v>
      </c>
      <c r="D583" s="4"/>
      <c r="E583" s="23">
        <f>ROUND(C583*D583/100,2)</f>
        <v>0</v>
      </c>
      <c r="F583" s="4">
        <v>61</v>
      </c>
      <c r="G583" s="4">
        <f>E583+F583</f>
        <v>61</v>
      </c>
      <c r="H583" s="4">
        <f>C583-G583</f>
        <v>0</v>
      </c>
    </row>
    <row r="584" spans="2:10" x14ac:dyDescent="0.25">
      <c r="B584" s="5" t="s">
        <v>484</v>
      </c>
      <c r="C584" s="4">
        <v>-61</v>
      </c>
      <c r="D584" s="4"/>
      <c r="E584" s="4">
        <v>0</v>
      </c>
      <c r="F584" s="4">
        <v>-61</v>
      </c>
      <c r="G584" s="4">
        <f>E584+F584</f>
        <v>-61</v>
      </c>
      <c r="H584" s="4">
        <f>C584-G584</f>
        <v>0</v>
      </c>
    </row>
    <row r="585" spans="2:10" x14ac:dyDescent="0.25">
      <c r="B585" s="5" t="s">
        <v>54</v>
      </c>
      <c r="C585" s="4">
        <v>480</v>
      </c>
      <c r="D585" s="4"/>
      <c r="E585" s="4">
        <f>ROUND(C585*D585/100,2)</f>
        <v>0</v>
      </c>
      <c r="F585" s="4">
        <v>480</v>
      </c>
      <c r="G585" s="4">
        <f>E585+F585</f>
        <v>480</v>
      </c>
      <c r="H585" s="4">
        <f>C585-G585</f>
        <v>0</v>
      </c>
    </row>
    <row r="586" spans="2:10" x14ac:dyDescent="0.25">
      <c r="B586" s="5" t="s">
        <v>195</v>
      </c>
      <c r="C586" s="4"/>
      <c r="D586" s="4"/>
      <c r="E586" s="4"/>
      <c r="F586" s="4"/>
      <c r="G586" s="4"/>
      <c r="H586" s="4"/>
    </row>
    <row r="587" spans="2:10" x14ac:dyDescent="0.25">
      <c r="B587" s="5" t="s">
        <v>13</v>
      </c>
      <c r="C587" s="4">
        <v>41.32</v>
      </c>
      <c r="D587" s="4"/>
      <c r="E587" s="23">
        <v>0</v>
      </c>
      <c r="F587" s="4">
        <v>41.32</v>
      </c>
      <c r="G587" s="4">
        <f>E587+F587</f>
        <v>41.32</v>
      </c>
      <c r="H587" s="4">
        <f>C587-G587</f>
        <v>0</v>
      </c>
    </row>
    <row r="588" spans="2:10" x14ac:dyDescent="0.25">
      <c r="B588" s="5" t="s">
        <v>194</v>
      </c>
      <c r="C588" s="4">
        <v>100</v>
      </c>
      <c r="D588" s="4">
        <v>12</v>
      </c>
      <c r="E588" s="23">
        <v>0</v>
      </c>
      <c r="F588" s="4">
        <v>100</v>
      </c>
      <c r="G588" s="4">
        <f>E588+F588</f>
        <v>100</v>
      </c>
      <c r="H588" s="4">
        <f>C588-G588</f>
        <v>0</v>
      </c>
    </row>
    <row r="589" spans="2:10" x14ac:dyDescent="0.25">
      <c r="B589" s="5" t="s">
        <v>452</v>
      </c>
      <c r="C589" s="12">
        <v>3949.2</v>
      </c>
      <c r="D589" s="12">
        <v>12</v>
      </c>
      <c r="E589" s="12">
        <f>ROUND(C589*D589/100,2)</f>
        <v>473.9</v>
      </c>
      <c r="F589" s="12">
        <f>2132.55+E589</f>
        <v>2606.4500000000003</v>
      </c>
      <c r="G589" s="12">
        <f>E589+F589</f>
        <v>3080.3500000000004</v>
      </c>
      <c r="H589" s="12">
        <f>C589-G589</f>
        <v>868.84999999999945</v>
      </c>
    </row>
    <row r="590" spans="2:10" x14ac:dyDescent="0.25">
      <c r="B590" s="5" t="s">
        <v>196</v>
      </c>
      <c r="C590" s="4">
        <f>SUM(C580:C589)</f>
        <v>5950.5199999999995</v>
      </c>
      <c r="D590" s="12"/>
      <c r="E590" s="12">
        <f>SUM(E580:E589)</f>
        <v>473.9</v>
      </c>
      <c r="F590" s="12">
        <f>SUM(F580:F589)</f>
        <v>4607.7700000000004</v>
      </c>
      <c r="G590" s="12">
        <f>SUM(G580:G589)</f>
        <v>5081.67</v>
      </c>
      <c r="H590" s="12">
        <f>SUM(H580:H589)</f>
        <v>868.84999999999945</v>
      </c>
    </row>
    <row r="591" spans="2:10" x14ac:dyDescent="0.25">
      <c r="B591" s="5" t="s">
        <v>207</v>
      </c>
      <c r="C591" s="14">
        <f>C555+C578+C590</f>
        <v>38762.07</v>
      </c>
      <c r="D591" s="4"/>
      <c r="E591" s="14">
        <f>E555+E578+E590</f>
        <v>3041.7900000000004</v>
      </c>
      <c r="F591" s="14">
        <f>F555+F578+F590</f>
        <v>24194.450000000004</v>
      </c>
      <c r="G591" s="14">
        <f>G555+G578+G590</f>
        <v>27236.239999999998</v>
      </c>
      <c r="H591" s="14">
        <f>H555+H578+H590</f>
        <v>11633.75</v>
      </c>
      <c r="J591" s="4"/>
    </row>
    <row r="593" spans="1:12" x14ac:dyDescent="0.25">
      <c r="B593" s="1" t="s">
        <v>18</v>
      </c>
    </row>
    <row r="594" spans="1:12" x14ac:dyDescent="0.25">
      <c r="B594" s="5" t="s">
        <v>454</v>
      </c>
      <c r="C594" s="4">
        <v>70966.58</v>
      </c>
      <c r="E594" s="4">
        <v>0</v>
      </c>
      <c r="F594" s="4">
        <v>70966.58</v>
      </c>
      <c r="G594" s="4">
        <v>70966.58</v>
      </c>
      <c r="H594" s="4">
        <v>0</v>
      </c>
    </row>
    <row r="595" spans="1:12" x14ac:dyDescent="0.25">
      <c r="B595" s="5" t="s">
        <v>197</v>
      </c>
      <c r="C595" s="4">
        <v>635</v>
      </c>
      <c r="D595" s="4">
        <v>10</v>
      </c>
      <c r="E595" s="4">
        <v>0</v>
      </c>
      <c r="F595" s="4">
        <v>635</v>
      </c>
      <c r="G595" s="4">
        <f>E595+F595</f>
        <v>635</v>
      </c>
      <c r="H595" s="4">
        <f>C595-G595</f>
        <v>0</v>
      </c>
    </row>
    <row r="596" spans="1:12" x14ac:dyDescent="0.25">
      <c r="A596" s="5">
        <v>7</v>
      </c>
      <c r="B596" s="5" t="s">
        <v>198</v>
      </c>
      <c r="C596" s="12">
        <v>3000</v>
      </c>
      <c r="D596" s="12">
        <v>7</v>
      </c>
      <c r="E596" s="12">
        <v>0</v>
      </c>
      <c r="F596" s="12">
        <v>3000</v>
      </c>
      <c r="G596" s="12">
        <f>E596+F596</f>
        <v>3000</v>
      </c>
      <c r="H596" s="12">
        <f>C596-G596</f>
        <v>0</v>
      </c>
    </row>
    <row r="597" spans="1:12" x14ac:dyDescent="0.25">
      <c r="B597" s="5" t="s">
        <v>330</v>
      </c>
      <c r="C597" s="4">
        <f>SUM(C594:C596)</f>
        <v>74601.58</v>
      </c>
      <c r="D597" s="4"/>
      <c r="E597" s="4">
        <v>0</v>
      </c>
      <c r="F597" s="4">
        <f>SUM(F594:F596)</f>
        <v>74601.58</v>
      </c>
      <c r="G597" s="4">
        <f>SUM(G594:G596)</f>
        <v>74601.58</v>
      </c>
      <c r="H597" s="4">
        <f>SUM(H594:H596)</f>
        <v>0</v>
      </c>
    </row>
    <row r="598" spans="1:12" x14ac:dyDescent="0.25">
      <c r="B598" s="5" t="s">
        <v>225</v>
      </c>
      <c r="C598" s="10">
        <v>1140</v>
      </c>
      <c r="D598" s="10">
        <v>20</v>
      </c>
      <c r="E598" s="10">
        <v>0</v>
      </c>
      <c r="F598" s="10">
        <v>1140</v>
      </c>
      <c r="G598" s="10">
        <f t="shared" ref="G598:G610" si="41">E598+F598</f>
        <v>1140</v>
      </c>
      <c r="H598" s="10">
        <f t="shared" ref="H598:H610" si="42">C598-G598</f>
        <v>0</v>
      </c>
    </row>
    <row r="599" spans="1:12" x14ac:dyDescent="0.25">
      <c r="B599" s="5" t="s">
        <v>240</v>
      </c>
      <c r="C599" s="10">
        <v>358.8</v>
      </c>
      <c r="D599" s="10">
        <v>20</v>
      </c>
      <c r="E599" s="10">
        <v>0</v>
      </c>
      <c r="F599" s="10">
        <v>358.8</v>
      </c>
      <c r="G599" s="10">
        <f t="shared" si="41"/>
        <v>358.8</v>
      </c>
      <c r="H599" s="10">
        <f t="shared" si="42"/>
        <v>0</v>
      </c>
    </row>
    <row r="600" spans="1:12" x14ac:dyDescent="0.25">
      <c r="B600" s="5" t="s">
        <v>241</v>
      </c>
      <c r="C600" s="10">
        <v>714</v>
      </c>
      <c r="D600" s="10">
        <v>20</v>
      </c>
      <c r="E600" s="10">
        <v>0</v>
      </c>
      <c r="F600" s="10">
        <v>714</v>
      </c>
      <c r="G600" s="10">
        <f t="shared" si="41"/>
        <v>714</v>
      </c>
      <c r="H600" s="10">
        <f t="shared" si="42"/>
        <v>0</v>
      </c>
    </row>
    <row r="601" spans="1:12" x14ac:dyDescent="0.25">
      <c r="B601" s="5" t="s">
        <v>260</v>
      </c>
      <c r="C601" s="10">
        <v>839</v>
      </c>
      <c r="D601" s="10">
        <v>20</v>
      </c>
      <c r="E601" s="10">
        <f t="shared" ref="E601:E610" si="43">ROUND(C601*D601/100,2)</f>
        <v>167.8</v>
      </c>
      <c r="F601" s="10">
        <f>251.7+E601</f>
        <v>419.5</v>
      </c>
      <c r="G601" s="10">
        <f t="shared" si="41"/>
        <v>587.29999999999995</v>
      </c>
      <c r="H601" s="10">
        <f t="shared" si="42"/>
        <v>251.70000000000005</v>
      </c>
    </row>
    <row r="602" spans="1:12" x14ac:dyDescent="0.25">
      <c r="B602" s="5" t="s">
        <v>367</v>
      </c>
      <c r="C602" s="10">
        <v>6294.51</v>
      </c>
      <c r="D602" s="10">
        <v>20</v>
      </c>
      <c r="E602" s="10">
        <f t="shared" si="43"/>
        <v>1258.9000000000001</v>
      </c>
      <c r="F602" s="10">
        <f>629.45+E602</f>
        <v>1888.3500000000001</v>
      </c>
      <c r="G602" s="13">
        <f>E602+F602</f>
        <v>3147.25</v>
      </c>
      <c r="H602" s="10">
        <f t="shared" si="42"/>
        <v>3147.26</v>
      </c>
    </row>
    <row r="603" spans="1:12" x14ac:dyDescent="0.25">
      <c r="C603" s="10"/>
      <c r="D603" s="10"/>
      <c r="E603" s="10"/>
      <c r="F603" s="10"/>
      <c r="G603" s="7">
        <f>-1950.26-0.2</f>
        <v>-1950.46</v>
      </c>
      <c r="H603" s="12">
        <f>1950.26-0.2+66.67</f>
        <v>2016.73</v>
      </c>
    </row>
    <row r="604" spans="1:12" x14ac:dyDescent="0.25">
      <c r="C604" s="10"/>
      <c r="D604" s="10"/>
      <c r="E604" s="10"/>
      <c r="F604" s="10"/>
      <c r="G604" s="13">
        <f>+G602+G603</f>
        <v>1196.79</v>
      </c>
      <c r="H604" s="13">
        <f>+H602+H603</f>
        <v>5163.99</v>
      </c>
    </row>
    <row r="605" spans="1:12" x14ac:dyDescent="0.25">
      <c r="B605" s="5" t="s">
        <v>368</v>
      </c>
      <c r="C605" s="10">
        <v>262.10000000000002</v>
      </c>
      <c r="D605" s="10">
        <v>20</v>
      </c>
      <c r="E605" s="10">
        <f t="shared" si="43"/>
        <v>52.42</v>
      </c>
      <c r="F605" s="10">
        <f>26.21+E605</f>
        <v>78.63</v>
      </c>
      <c r="G605" s="10">
        <f t="shared" si="41"/>
        <v>131.05000000000001</v>
      </c>
      <c r="H605" s="10">
        <f t="shared" si="42"/>
        <v>131.05000000000001</v>
      </c>
    </row>
    <row r="606" spans="1:12" x14ac:dyDescent="0.25">
      <c r="B606" s="5" t="s">
        <v>504</v>
      </c>
      <c r="C606" s="10">
        <v>1250.4000000000001</v>
      </c>
      <c r="D606" s="10">
        <v>10</v>
      </c>
      <c r="E606" s="10">
        <f>ROUND(C606*D606/100,2)</f>
        <v>125.04</v>
      </c>
      <c r="F606" s="10">
        <f>125.04</f>
        <v>125.04</v>
      </c>
      <c r="G606" s="10">
        <f t="shared" si="41"/>
        <v>250.08</v>
      </c>
      <c r="H606" s="10">
        <f t="shared" si="42"/>
        <v>1000.32</v>
      </c>
      <c r="K606" s="4"/>
    </row>
    <row r="607" spans="1:12" x14ac:dyDescent="0.25">
      <c r="B607" s="5" t="s">
        <v>505</v>
      </c>
      <c r="C607" s="10">
        <v>2223.4</v>
      </c>
      <c r="D607" s="10">
        <v>10</v>
      </c>
      <c r="E607" s="10">
        <f t="shared" si="43"/>
        <v>222.34</v>
      </c>
      <c r="F607" s="10">
        <f>222.34</f>
        <v>222.34</v>
      </c>
      <c r="G607" s="10">
        <f t="shared" si="41"/>
        <v>444.68</v>
      </c>
      <c r="H607" s="10">
        <f t="shared" si="42"/>
        <v>1778.72</v>
      </c>
    </row>
    <row r="608" spans="1:12" x14ac:dyDescent="0.25">
      <c r="B608" s="5" t="s">
        <v>468</v>
      </c>
      <c r="C608" s="10">
        <v>530</v>
      </c>
      <c r="D608" s="10">
        <v>10</v>
      </c>
      <c r="E608" s="10">
        <f t="shared" si="43"/>
        <v>53</v>
      </c>
      <c r="F608" s="10">
        <f>53</f>
        <v>53</v>
      </c>
      <c r="G608" s="10">
        <f t="shared" si="41"/>
        <v>106</v>
      </c>
      <c r="H608" s="10">
        <f t="shared" si="42"/>
        <v>424</v>
      </c>
      <c r="L608" s="4"/>
    </row>
    <row r="609" spans="2:10" x14ac:dyDescent="0.25">
      <c r="B609" s="5" t="s">
        <v>461</v>
      </c>
      <c r="C609" s="10">
        <v>109</v>
      </c>
      <c r="D609" s="10">
        <v>10</v>
      </c>
      <c r="E609" s="10">
        <f t="shared" si="43"/>
        <v>10.9</v>
      </c>
      <c r="F609" s="10">
        <f>10.9</f>
        <v>10.9</v>
      </c>
      <c r="G609" s="10">
        <f t="shared" si="41"/>
        <v>21.8</v>
      </c>
      <c r="H609" s="10">
        <f t="shared" si="42"/>
        <v>87.2</v>
      </c>
    </row>
    <row r="610" spans="2:10" x14ac:dyDescent="0.25">
      <c r="B610" s="5" t="s">
        <v>539</v>
      </c>
      <c r="C610" s="10">
        <f>450+99</f>
        <v>549</v>
      </c>
      <c r="D610" s="10">
        <v>10</v>
      </c>
      <c r="E610" s="10">
        <f t="shared" si="43"/>
        <v>54.9</v>
      </c>
      <c r="F610" s="10">
        <f>+E610</f>
        <v>54.9</v>
      </c>
      <c r="G610" s="10">
        <f t="shared" si="41"/>
        <v>109.8</v>
      </c>
      <c r="H610" s="10">
        <f t="shared" si="42"/>
        <v>439.2</v>
      </c>
    </row>
    <row r="611" spans="2:10" x14ac:dyDescent="0.25">
      <c r="B611" s="5" t="s">
        <v>558</v>
      </c>
      <c r="C611" s="10">
        <f>12900+2838</f>
        <v>15738</v>
      </c>
      <c r="D611" s="10">
        <v>12</v>
      </c>
      <c r="E611" s="18">
        <f>ROUND(C611*D611/100,2)</f>
        <v>1888.56</v>
      </c>
      <c r="F611" s="13">
        <v>1832</v>
      </c>
      <c r="G611" s="10">
        <f>E611+F611</f>
        <v>3720.56</v>
      </c>
      <c r="H611" s="10">
        <f>C611-G611</f>
        <v>12017.44</v>
      </c>
    </row>
    <row r="612" spans="2:10" x14ac:dyDescent="0.25">
      <c r="B612" s="5" t="s">
        <v>557</v>
      </c>
      <c r="C612" s="10">
        <v>2440</v>
      </c>
      <c r="D612" s="10"/>
      <c r="E612" s="18">
        <f>ROUND(C612*D612/100,2)</f>
        <v>0</v>
      </c>
      <c r="F612" s="10">
        <v>0</v>
      </c>
      <c r="G612" s="10">
        <f>E612+F612</f>
        <v>0</v>
      </c>
      <c r="H612" s="10">
        <f>C612-G612</f>
        <v>2440</v>
      </c>
    </row>
    <row r="613" spans="2:10" x14ac:dyDescent="0.25">
      <c r="B613" s="38" t="s">
        <v>559</v>
      </c>
      <c r="C613" s="10">
        <f>416+91.52</f>
        <v>507.52</v>
      </c>
      <c r="D613" s="10">
        <v>12</v>
      </c>
      <c r="E613" s="18">
        <f>ROUND(C613*D613/100,2)</f>
        <v>60.9</v>
      </c>
      <c r="F613" s="10">
        <v>91.35</v>
      </c>
      <c r="G613" s="10">
        <f>E613+F613</f>
        <v>152.25</v>
      </c>
      <c r="H613" s="10">
        <f>C613-G613</f>
        <v>355.27</v>
      </c>
    </row>
    <row r="614" spans="2:10" x14ac:dyDescent="0.25">
      <c r="B614" s="5" t="s">
        <v>511</v>
      </c>
      <c r="C614" s="4">
        <f>SUM(C597:C613)</f>
        <v>107557.31</v>
      </c>
      <c r="D614" s="4"/>
      <c r="E614" s="4">
        <v>1891.15</v>
      </c>
      <c r="F614" s="4">
        <f>SUM(F597:F613)</f>
        <v>81590.39</v>
      </c>
      <c r="G614" s="4">
        <f>SUM(G597:G613)-3147.25+1950.46</f>
        <v>83534.69</v>
      </c>
      <c r="H614" s="4">
        <f>SUM(H597:H613)-3147.26-2016.73</f>
        <v>24088.890000000003</v>
      </c>
      <c r="J614" s="4"/>
    </row>
    <row r="617" spans="2:10" x14ac:dyDescent="0.25">
      <c r="B617" s="5" t="s">
        <v>217</v>
      </c>
      <c r="C617" s="4" t="s">
        <v>216</v>
      </c>
      <c r="E617" s="15"/>
      <c r="F617" s="16"/>
    </row>
    <row r="618" spans="2:10" x14ac:dyDescent="0.25">
      <c r="B618" s="5" t="s">
        <v>546</v>
      </c>
      <c r="C618" s="4"/>
      <c r="D618" s="4"/>
      <c r="E618" s="4"/>
      <c r="F618" s="4"/>
      <c r="G618" s="4"/>
    </row>
    <row r="619" spans="2:10" x14ac:dyDescent="0.25">
      <c r="B619" s="5" t="s">
        <v>266</v>
      </c>
      <c r="C619" s="5" t="s">
        <v>9</v>
      </c>
      <c r="D619" s="5" t="s">
        <v>10</v>
      </c>
      <c r="E619" s="5" t="s">
        <v>1</v>
      </c>
      <c r="F619" s="5" t="s">
        <v>2</v>
      </c>
      <c r="G619" s="5" t="s">
        <v>3</v>
      </c>
      <c r="H619" s="5" t="s">
        <v>5</v>
      </c>
    </row>
    <row r="620" spans="2:10" x14ac:dyDescent="0.25">
      <c r="B620" s="5" t="s">
        <v>512</v>
      </c>
      <c r="C620" s="4">
        <f>C614</f>
        <v>107557.31</v>
      </c>
      <c r="D620" s="4"/>
      <c r="E620" s="4">
        <f>E614</f>
        <v>1891.15</v>
      </c>
      <c r="F620" s="4">
        <f>F614</f>
        <v>81590.39</v>
      </c>
      <c r="G620" s="4">
        <f>G614</f>
        <v>83534.69</v>
      </c>
      <c r="H620" s="4">
        <f>H614</f>
        <v>24088.890000000003</v>
      </c>
    </row>
    <row r="621" spans="2:10" x14ac:dyDescent="0.25">
      <c r="B621" s="5" t="s">
        <v>473</v>
      </c>
      <c r="C621" s="10">
        <v>37</v>
      </c>
      <c r="D621" s="10">
        <v>10</v>
      </c>
      <c r="E621" s="10">
        <f>ROUND(C621*D621/100,2)</f>
        <v>3.7</v>
      </c>
      <c r="F621" s="10">
        <v>3.7</v>
      </c>
      <c r="G621" s="10">
        <f>E621+F621</f>
        <v>7.4</v>
      </c>
      <c r="H621" s="10">
        <f>C621-G621</f>
        <v>29.6</v>
      </c>
    </row>
    <row r="622" spans="2:10" x14ac:dyDescent="0.25">
      <c r="B622" s="5" t="s">
        <v>462</v>
      </c>
      <c r="C622" s="10">
        <v>176.9</v>
      </c>
      <c r="D622" s="10">
        <v>10</v>
      </c>
      <c r="E622" s="10">
        <f>ROUND(C622*D622/100,2)</f>
        <v>17.690000000000001</v>
      </c>
      <c r="F622" s="10">
        <v>17.690000000000001</v>
      </c>
      <c r="G622" s="10">
        <f>E622+F622</f>
        <v>35.380000000000003</v>
      </c>
      <c r="H622" s="10">
        <f>C622-G622</f>
        <v>141.52000000000001</v>
      </c>
    </row>
    <row r="623" spans="2:10" x14ac:dyDescent="0.25">
      <c r="B623" s="5" t="s">
        <v>463</v>
      </c>
      <c r="C623" s="12">
        <v>183</v>
      </c>
      <c r="D623" s="12">
        <v>10</v>
      </c>
      <c r="E623" s="12">
        <v>0</v>
      </c>
      <c r="F623" s="12">
        <v>183</v>
      </c>
      <c r="G623" s="12">
        <f>E623+F623</f>
        <v>183</v>
      </c>
      <c r="H623" s="12">
        <f>C623-G623</f>
        <v>0</v>
      </c>
    </row>
    <row r="624" spans="2:10" x14ac:dyDescent="0.25">
      <c r="B624" s="5" t="s">
        <v>265</v>
      </c>
      <c r="C624" s="4">
        <f>SUM(C620:C623)</f>
        <v>107954.20999999999</v>
      </c>
      <c r="E624" s="4">
        <f>SUM(E620:E623)</f>
        <v>1912.5400000000002</v>
      </c>
      <c r="F624" s="4">
        <f>SUM(F620:F623)</f>
        <v>81794.78</v>
      </c>
      <c r="G624" s="4">
        <f>SUM(G620:G623)</f>
        <v>83760.47</v>
      </c>
      <c r="H624" s="4">
        <f>SUM(H620:H623)</f>
        <v>24260.010000000002</v>
      </c>
    </row>
    <row r="625" spans="2:8" x14ac:dyDescent="0.25">
      <c r="B625" s="5" t="s">
        <v>256</v>
      </c>
      <c r="F625" s="4"/>
    </row>
    <row r="626" spans="2:8" x14ac:dyDescent="0.25">
      <c r="B626" s="5" t="s">
        <v>279</v>
      </c>
      <c r="C626" s="10"/>
    </row>
    <row r="627" spans="2:8" x14ac:dyDescent="0.25">
      <c r="B627" s="5" t="s">
        <v>280</v>
      </c>
      <c r="C627" s="10">
        <v>1024.8</v>
      </c>
      <c r="E627" s="10">
        <v>0</v>
      </c>
      <c r="F627" s="10">
        <v>1024.8</v>
      </c>
      <c r="G627" s="10">
        <v>1024.8</v>
      </c>
      <c r="H627" s="10">
        <v>0</v>
      </c>
    </row>
    <row r="628" spans="2:8" x14ac:dyDescent="0.25">
      <c r="B628" s="5" t="s">
        <v>281</v>
      </c>
      <c r="C628" s="10">
        <v>302.35000000000002</v>
      </c>
      <c r="E628" s="10">
        <v>0</v>
      </c>
      <c r="F628" s="10">
        <v>302.35000000000002</v>
      </c>
      <c r="G628" s="10">
        <v>302.35000000000002</v>
      </c>
      <c r="H628" s="10">
        <v>0</v>
      </c>
    </row>
    <row r="629" spans="2:8" x14ac:dyDescent="0.25">
      <c r="B629" s="5" t="s">
        <v>282</v>
      </c>
      <c r="C629" s="10">
        <v>484.8</v>
      </c>
      <c r="E629" s="10">
        <v>0</v>
      </c>
      <c r="F629" s="10">
        <v>484.8</v>
      </c>
      <c r="G629" s="10">
        <v>484.8</v>
      </c>
      <c r="H629" s="10">
        <v>0</v>
      </c>
    </row>
    <row r="630" spans="2:8" x14ac:dyDescent="0.25">
      <c r="B630" s="5" t="s">
        <v>283</v>
      </c>
    </row>
    <row r="631" spans="2:8" x14ac:dyDescent="0.25">
      <c r="B631" s="5" t="s">
        <v>275</v>
      </c>
      <c r="C631" s="10">
        <v>1192.29</v>
      </c>
      <c r="D631" s="10"/>
      <c r="E631" s="10">
        <v>0</v>
      </c>
      <c r="F631" s="10">
        <v>1192.29</v>
      </c>
      <c r="G631" s="10">
        <v>1192.29</v>
      </c>
      <c r="H631" s="10">
        <v>0</v>
      </c>
    </row>
    <row r="632" spans="2:8" x14ac:dyDescent="0.25">
      <c r="B632" s="5" t="s">
        <v>276</v>
      </c>
      <c r="C632" s="10">
        <v>148.74</v>
      </c>
      <c r="D632" s="10"/>
      <c r="E632" s="10">
        <v>0</v>
      </c>
      <c r="F632" s="10">
        <v>148.74</v>
      </c>
      <c r="G632" s="10">
        <v>148.74</v>
      </c>
      <c r="H632" s="10">
        <v>0</v>
      </c>
    </row>
    <row r="633" spans="2:8" x14ac:dyDescent="0.25">
      <c r="B633" s="5" t="s">
        <v>380</v>
      </c>
      <c r="C633" s="10">
        <v>111.55</v>
      </c>
      <c r="D633" s="10"/>
      <c r="E633" s="10">
        <v>0</v>
      </c>
      <c r="F633" s="10">
        <v>111.55</v>
      </c>
      <c r="G633" s="10">
        <v>111.55</v>
      </c>
      <c r="H633" s="10">
        <v>0</v>
      </c>
    </row>
    <row r="634" spans="2:8" x14ac:dyDescent="0.25">
      <c r="B634" s="5" t="s">
        <v>464</v>
      </c>
      <c r="H634" s="10"/>
    </row>
    <row r="635" spans="2:8" x14ac:dyDescent="0.25">
      <c r="B635" s="5" t="s">
        <v>465</v>
      </c>
      <c r="C635" s="4">
        <v>605</v>
      </c>
      <c r="D635" s="4">
        <v>20</v>
      </c>
      <c r="E635" s="4">
        <v>0</v>
      </c>
      <c r="F635" s="4">
        <v>605</v>
      </c>
      <c r="G635" s="4">
        <f>E635+F635</f>
        <v>605</v>
      </c>
      <c r="H635" s="4">
        <f>C635-G635</f>
        <v>0</v>
      </c>
    </row>
    <row r="636" spans="2:8" x14ac:dyDescent="0.25">
      <c r="B636" s="5" t="s">
        <v>466</v>
      </c>
      <c r="C636" s="4">
        <v>144.66999999999999</v>
      </c>
      <c r="D636" s="4">
        <v>20</v>
      </c>
      <c r="E636" s="4">
        <f>28.94-0.15</f>
        <v>28.790000000000003</v>
      </c>
      <c r="F636" s="4">
        <v>72.349999999999994</v>
      </c>
      <c r="G636" s="4">
        <f>E636+F636</f>
        <v>101.14</v>
      </c>
      <c r="H636" s="4">
        <f>C636-G636</f>
        <v>43.529999999999987</v>
      </c>
    </row>
    <row r="637" spans="2:8" x14ac:dyDescent="0.25">
      <c r="B637" s="5" t="s">
        <v>467</v>
      </c>
      <c r="C637" s="4">
        <v>50.82</v>
      </c>
      <c r="D637" s="4">
        <v>20</v>
      </c>
      <c r="E637" s="4">
        <v>0</v>
      </c>
      <c r="F637" s="4">
        <v>50.82</v>
      </c>
      <c r="G637" s="4">
        <f>E637+F637</f>
        <v>50.82</v>
      </c>
      <c r="H637" s="4">
        <f>C637-G637</f>
        <v>0</v>
      </c>
    </row>
    <row r="638" spans="2:8" x14ac:dyDescent="0.25">
      <c r="B638" s="5" t="s">
        <v>485</v>
      </c>
    </row>
    <row r="639" spans="2:8" x14ac:dyDescent="0.25">
      <c r="B639" s="5" t="s">
        <v>486</v>
      </c>
      <c r="C639" s="10">
        <v>1891.2</v>
      </c>
      <c r="E639" s="4">
        <v>0</v>
      </c>
      <c r="F639" s="4">
        <v>1891.2</v>
      </c>
      <c r="G639" s="4">
        <v>1891.2</v>
      </c>
      <c r="H639" s="4">
        <v>0</v>
      </c>
    </row>
    <row r="640" spans="2:8" x14ac:dyDescent="0.25">
      <c r="B640" s="5" t="s">
        <v>487</v>
      </c>
      <c r="C640" s="10">
        <v>1044</v>
      </c>
      <c r="E640" s="4">
        <v>0</v>
      </c>
      <c r="F640" s="4">
        <v>1044</v>
      </c>
      <c r="G640" s="4">
        <v>1044</v>
      </c>
      <c r="H640" s="4">
        <v>0</v>
      </c>
    </row>
    <row r="641" spans="2:13" x14ac:dyDescent="0.25">
      <c r="B641" s="5" t="s">
        <v>488</v>
      </c>
      <c r="C641" s="12">
        <v>328.57</v>
      </c>
      <c r="D641" s="22"/>
      <c r="E641" s="12">
        <v>0</v>
      </c>
      <c r="F641" s="22">
        <v>328.57</v>
      </c>
      <c r="G641" s="22">
        <v>328.57</v>
      </c>
      <c r="H641" s="12">
        <v>0</v>
      </c>
    </row>
    <row r="642" spans="2:13" x14ac:dyDescent="0.25">
      <c r="B642" s="5" t="s">
        <v>369</v>
      </c>
      <c r="C642" s="4">
        <f>SUM(C624:C641)</f>
        <v>115283.00000000001</v>
      </c>
      <c r="D642" s="4"/>
      <c r="E642" s="4">
        <f>SUM(E624:E641)</f>
        <v>1941.3300000000002</v>
      </c>
      <c r="F642" s="4">
        <f>SUM(F624:F641)</f>
        <v>89051.250000000029</v>
      </c>
      <c r="G642" s="4">
        <f>SUM(G624:G641)</f>
        <v>91045.730000000025</v>
      </c>
      <c r="H642" s="4">
        <f>SUM(H624:H641)</f>
        <v>24303.54</v>
      </c>
    </row>
    <row r="644" spans="2:13" x14ac:dyDescent="0.25">
      <c r="B644" s="5" t="s">
        <v>11</v>
      </c>
      <c r="C644" s="4"/>
      <c r="E644" s="4"/>
      <c r="F644" s="4"/>
      <c r="G644" s="4"/>
      <c r="H644" s="4"/>
    </row>
    <row r="645" spans="2:13" x14ac:dyDescent="0.25">
      <c r="B645" s="5" t="s">
        <v>460</v>
      </c>
      <c r="C645" s="4">
        <v>2081.7199999999998</v>
      </c>
      <c r="D645" s="4"/>
      <c r="E645" s="4">
        <f>ROUND(C645*D645/100,2)</f>
        <v>0</v>
      </c>
      <c r="F645" s="4">
        <v>2081.7199999999998</v>
      </c>
      <c r="G645" s="4">
        <f>F645</f>
        <v>2081.7199999999998</v>
      </c>
      <c r="H645" s="4">
        <v>0</v>
      </c>
    </row>
    <row r="646" spans="2:13" x14ac:dyDescent="0.25">
      <c r="B646" s="5" t="s">
        <v>262</v>
      </c>
      <c r="C646" s="4">
        <v>672</v>
      </c>
      <c r="D646" s="4">
        <v>20</v>
      </c>
      <c r="E646" s="4">
        <f>C646*D646/100</f>
        <v>134.4</v>
      </c>
      <c r="F646" s="4">
        <f>201.6+E646</f>
        <v>336</v>
      </c>
      <c r="G646" s="4">
        <f>E646+F646</f>
        <v>470.4</v>
      </c>
      <c r="H646" s="4">
        <f>C646-G646</f>
        <v>201.60000000000002</v>
      </c>
    </row>
    <row r="647" spans="2:13" x14ac:dyDescent="0.25">
      <c r="B647" s="5" t="s">
        <v>263</v>
      </c>
      <c r="C647" s="4">
        <v>302.5</v>
      </c>
      <c r="D647" s="4">
        <v>20</v>
      </c>
      <c r="E647" s="4">
        <f>C647*D647/100</f>
        <v>60.5</v>
      </c>
      <c r="F647" s="4">
        <f>90.75+E647</f>
        <v>151.25</v>
      </c>
      <c r="G647" s="4">
        <f>E647+F647</f>
        <v>211.75</v>
      </c>
      <c r="H647" s="4">
        <f>C647-G647</f>
        <v>90.75</v>
      </c>
    </row>
    <row r="648" spans="2:13" x14ac:dyDescent="0.25">
      <c r="B648" s="5" t="s">
        <v>371</v>
      </c>
      <c r="C648" s="4">
        <v>3147.26</v>
      </c>
      <c r="D648" s="4">
        <v>20</v>
      </c>
      <c r="E648" s="4">
        <v>0</v>
      </c>
      <c r="F648" s="4">
        <v>3147.26</v>
      </c>
      <c r="G648" s="4">
        <f>E648+F648</f>
        <v>3147.26</v>
      </c>
      <c r="H648" s="4">
        <f>C648-G648</f>
        <v>0</v>
      </c>
    </row>
    <row r="649" spans="2:13" x14ac:dyDescent="0.25">
      <c r="B649" s="5" t="s">
        <v>469</v>
      </c>
      <c r="C649" s="12">
        <v>514.20000000000005</v>
      </c>
      <c r="D649" s="12">
        <v>10</v>
      </c>
      <c r="E649" s="12">
        <f>C649*D649/100</f>
        <v>51.42</v>
      </c>
      <c r="F649" s="12">
        <v>154.26</v>
      </c>
      <c r="G649" s="12">
        <f>E649+F649</f>
        <v>205.68</v>
      </c>
      <c r="H649" s="12">
        <f>C649-G649</f>
        <v>308.52000000000004</v>
      </c>
    </row>
    <row r="650" spans="2:13" x14ac:dyDescent="0.25">
      <c r="B650" s="5" t="s">
        <v>372</v>
      </c>
      <c r="C650" s="4">
        <f>SUM(C644:C649)</f>
        <v>6717.6799999999994</v>
      </c>
      <c r="D650" s="4"/>
      <c r="E650" s="4">
        <f>SUM(E644:E649)</f>
        <v>246.32</v>
      </c>
      <c r="F650" s="4">
        <f>SUM(F644:F649)</f>
        <v>5870.49</v>
      </c>
      <c r="G650" s="4">
        <f>SUM(G644:G649)</f>
        <v>6116.81</v>
      </c>
      <c r="H650" s="4">
        <f>SUM(H644:H649)</f>
        <v>600.87000000000012</v>
      </c>
    </row>
    <row r="651" spans="2:13" x14ac:dyDescent="0.25">
      <c r="B651" s="5" t="s">
        <v>15</v>
      </c>
      <c r="C651" s="4"/>
      <c r="E651" s="4"/>
    </row>
    <row r="652" spans="2:13" x14ac:dyDescent="0.25">
      <c r="B652" s="5" t="s">
        <v>460</v>
      </c>
      <c r="C652" s="4">
        <v>4595.6899999999996</v>
      </c>
      <c r="E652" s="4">
        <f>ROUND(C652*D652/100,2)</f>
        <v>0</v>
      </c>
      <c r="F652" s="4">
        <v>4595.6899999999996</v>
      </c>
      <c r="G652" s="4">
        <f>E652+F652</f>
        <v>4595.6899999999996</v>
      </c>
      <c r="H652" s="4">
        <f>C652-G652</f>
        <v>0</v>
      </c>
    </row>
    <row r="653" spans="2:13" x14ac:dyDescent="0.25">
      <c r="B653" s="8" t="s">
        <v>455</v>
      </c>
      <c r="C653" s="4">
        <v>-10</v>
      </c>
      <c r="E653" s="5" t="s">
        <v>458</v>
      </c>
    </row>
    <row r="654" spans="2:13" x14ac:dyDescent="0.25">
      <c r="B654" s="8" t="s">
        <v>456</v>
      </c>
      <c r="C654" s="4">
        <v>-967.2</v>
      </c>
      <c r="F654" s="4">
        <v>-967.2</v>
      </c>
      <c r="G654" s="4">
        <v>-967.2</v>
      </c>
    </row>
    <row r="655" spans="2:13" x14ac:dyDescent="0.25">
      <c r="B655" s="8" t="s">
        <v>457</v>
      </c>
      <c r="C655" s="12">
        <v>10</v>
      </c>
      <c r="D655" s="22"/>
      <c r="E655" s="22"/>
      <c r="F655" s="22"/>
      <c r="G655" s="22"/>
      <c r="H655" s="22"/>
      <c r="M655" s="4"/>
    </row>
    <row r="656" spans="2:13" x14ac:dyDescent="0.25">
      <c r="B656" s="5" t="s">
        <v>370</v>
      </c>
      <c r="C656" s="4">
        <f>SUM(C652:C655)</f>
        <v>3628.49</v>
      </c>
      <c r="E656" s="4">
        <f>SUM(E652:E655)</f>
        <v>0</v>
      </c>
      <c r="F656" s="4">
        <f>SUM(F652:F655)</f>
        <v>3628.49</v>
      </c>
      <c r="G656" s="4">
        <f>SUM(G652:G655)</f>
        <v>3628.49</v>
      </c>
      <c r="H656" s="4">
        <f>SUM(H652:H655)</f>
        <v>0</v>
      </c>
    </row>
    <row r="657" spans="2:9" x14ac:dyDescent="0.25">
      <c r="B657" s="5" t="s">
        <v>371</v>
      </c>
      <c r="C657" s="10">
        <v>3147.26</v>
      </c>
      <c r="D657" s="4">
        <v>20</v>
      </c>
      <c r="E657" s="4">
        <f>C657*D657/100</f>
        <v>629.452</v>
      </c>
      <c r="F657" s="4">
        <f>314.73+E657</f>
        <v>944.18200000000002</v>
      </c>
      <c r="G657" s="4">
        <f>E657+F657</f>
        <v>1573.634</v>
      </c>
      <c r="H657" s="4">
        <f>C657-G657</f>
        <v>1573.6260000000002</v>
      </c>
    </row>
    <row r="658" spans="2:9" x14ac:dyDescent="0.25">
      <c r="B658" s="5" t="s">
        <v>373</v>
      </c>
      <c r="C658" s="10">
        <v>242</v>
      </c>
      <c r="D658" s="4">
        <v>20</v>
      </c>
      <c r="E658" s="4">
        <f>C658*D658/100</f>
        <v>48.4</v>
      </c>
      <c r="F658" s="4">
        <f>24.2+E658</f>
        <v>72.599999999999994</v>
      </c>
      <c r="G658" s="4">
        <f>E658+F658</f>
        <v>121</v>
      </c>
      <c r="H658" s="4">
        <f>C658-G658</f>
        <v>121</v>
      </c>
    </row>
    <row r="659" spans="2:9" x14ac:dyDescent="0.25">
      <c r="B659" s="5" t="s">
        <v>459</v>
      </c>
      <c r="C659" s="12">
        <v>671</v>
      </c>
      <c r="D659" s="12">
        <v>10</v>
      </c>
      <c r="E659" s="12">
        <f>C659*D659/100</f>
        <v>67.099999999999994</v>
      </c>
      <c r="F659" s="12">
        <f>67.1</f>
        <v>67.099999999999994</v>
      </c>
      <c r="G659" s="12">
        <f>E659+F659</f>
        <v>134.19999999999999</v>
      </c>
      <c r="H659" s="12">
        <f>C659-G659</f>
        <v>536.79999999999995</v>
      </c>
    </row>
    <row r="660" spans="2:9" x14ac:dyDescent="0.25">
      <c r="B660" s="5" t="s">
        <v>374</v>
      </c>
      <c r="C660" s="4">
        <f>SUM(C656:C659)</f>
        <v>7688.75</v>
      </c>
      <c r="E660" s="4">
        <f>SUM(E656:E659)</f>
        <v>744.952</v>
      </c>
      <c r="F660" s="4">
        <f>SUM(F656:F659)</f>
        <v>4712.3720000000003</v>
      </c>
      <c r="G660" s="4">
        <f>SUM(G656:G659)</f>
        <v>5457.3239999999996</v>
      </c>
      <c r="H660" s="4">
        <f>SUM(H656:H659)</f>
        <v>2231.4260000000004</v>
      </c>
    </row>
    <row r="661" spans="2:9" x14ac:dyDescent="0.25">
      <c r="B661" s="5" t="s">
        <v>17</v>
      </c>
      <c r="C661" s="4"/>
      <c r="E661" s="4"/>
      <c r="G661" s="4"/>
      <c r="H661" s="4"/>
    </row>
    <row r="662" spans="2:9" x14ac:dyDescent="0.25">
      <c r="B662" s="5" t="s">
        <v>261</v>
      </c>
      <c r="C662" s="4">
        <v>2185.1999999999998</v>
      </c>
      <c r="D662" s="4"/>
      <c r="E662" s="4">
        <f>ROUND(C662*D662/100,2)</f>
        <v>0</v>
      </c>
      <c r="F662" s="4">
        <v>2185.1999999999998</v>
      </c>
      <c r="G662" s="4">
        <f>E662+F662</f>
        <v>2185.1999999999998</v>
      </c>
      <c r="H662" s="4">
        <f>C662-G662</f>
        <v>0</v>
      </c>
    </row>
    <row r="663" spans="2:9" x14ac:dyDescent="0.25">
      <c r="B663" s="5" t="s">
        <v>267</v>
      </c>
      <c r="C663" s="4">
        <v>905.21</v>
      </c>
      <c r="D663" s="4">
        <v>20</v>
      </c>
      <c r="E663" s="4">
        <v>0</v>
      </c>
      <c r="F663" s="4">
        <v>905.21</v>
      </c>
      <c r="G663" s="4">
        <f>E663+F663</f>
        <v>905.21</v>
      </c>
      <c r="H663" s="4">
        <f>C663-G663</f>
        <v>0</v>
      </c>
    </row>
    <row r="664" spans="2:9" ht="17.399999999999999" x14ac:dyDescent="0.3">
      <c r="B664" s="5" t="s">
        <v>371</v>
      </c>
      <c r="C664" s="12">
        <v>3147.26</v>
      </c>
      <c r="D664" s="12">
        <v>20</v>
      </c>
      <c r="E664" s="12">
        <f>ROUND(C664*D664/100,2)</f>
        <v>629.45000000000005</v>
      </c>
      <c r="F664" s="12">
        <v>769.32</v>
      </c>
      <c r="G664" s="12">
        <v>1398.77</v>
      </c>
      <c r="H664" s="12">
        <v>1573.63</v>
      </c>
      <c r="I664" s="9"/>
    </row>
    <row r="665" spans="2:9" x14ac:dyDescent="0.25">
      <c r="B665" s="5" t="s">
        <v>375</v>
      </c>
      <c r="C665" s="4">
        <f>SUM(C662:C664)</f>
        <v>6237.67</v>
      </c>
      <c r="E665" s="4">
        <f>SUM(E662:E664)</f>
        <v>629.45000000000005</v>
      </c>
      <c r="F665" s="4">
        <f>SUM(F662:F664)</f>
        <v>3859.73</v>
      </c>
      <c r="G665" s="4">
        <f>SUM(G662:G664)</f>
        <v>4489.18</v>
      </c>
      <c r="H665" s="4">
        <f>SUM(H662:H664)</f>
        <v>1573.63</v>
      </c>
    </row>
    <row r="666" spans="2:9" x14ac:dyDescent="0.25">
      <c r="C666" s="4"/>
      <c r="E666" s="4"/>
      <c r="F666" s="4"/>
      <c r="G666" s="4"/>
      <c r="H666" s="4"/>
    </row>
    <row r="667" spans="2:9" x14ac:dyDescent="0.25">
      <c r="C667" s="4"/>
      <c r="E667" s="4"/>
      <c r="F667" s="4"/>
      <c r="G667" s="4"/>
      <c r="H667" s="4"/>
    </row>
    <row r="668" spans="2:9" x14ac:dyDescent="0.25">
      <c r="C668" s="4"/>
      <c r="E668" s="4"/>
      <c r="F668" s="4"/>
      <c r="G668" s="4"/>
      <c r="H668" s="4"/>
    </row>
    <row r="669" spans="2:9" x14ac:dyDescent="0.25">
      <c r="C669" s="4"/>
      <c r="E669" s="4"/>
      <c r="F669" s="4"/>
      <c r="G669" s="4"/>
      <c r="H669" s="4"/>
    </row>
    <row r="670" spans="2:9" x14ac:dyDescent="0.25">
      <c r="C670" s="4"/>
      <c r="E670" s="4"/>
      <c r="F670" s="4"/>
      <c r="G670" s="4"/>
      <c r="H670" s="4"/>
    </row>
    <row r="671" spans="2:9" x14ac:dyDescent="0.25">
      <c r="C671" s="4"/>
      <c r="E671" s="4"/>
      <c r="F671" s="4"/>
      <c r="G671" s="4"/>
      <c r="H671" s="4"/>
    </row>
    <row r="672" spans="2:9" x14ac:dyDescent="0.25">
      <c r="C672" s="4"/>
      <c r="E672" s="4"/>
      <c r="F672" s="4"/>
      <c r="G672" s="4"/>
      <c r="H672" s="4"/>
    </row>
    <row r="673" spans="2:8" x14ac:dyDescent="0.25">
      <c r="B673" s="5" t="s">
        <v>217</v>
      </c>
      <c r="C673" s="4" t="s">
        <v>216</v>
      </c>
      <c r="E673" s="15"/>
      <c r="F673" s="16"/>
      <c r="H673" s="4"/>
    </row>
    <row r="674" spans="2:8" x14ac:dyDescent="0.25">
      <c r="B674" s="5" t="s">
        <v>546</v>
      </c>
      <c r="C674" s="4"/>
      <c r="D674" s="4"/>
      <c r="E674" s="4"/>
      <c r="F674" s="4"/>
      <c r="G674" s="4"/>
      <c r="H674" s="4"/>
    </row>
    <row r="675" spans="2:8" x14ac:dyDescent="0.25">
      <c r="B675" s="5" t="s">
        <v>266</v>
      </c>
      <c r="C675" s="5" t="s">
        <v>9</v>
      </c>
      <c r="D675" s="5" t="s">
        <v>10</v>
      </c>
      <c r="E675" s="5" t="s">
        <v>1</v>
      </c>
      <c r="F675" s="5" t="s">
        <v>2</v>
      </c>
      <c r="G675" s="5" t="s">
        <v>3</v>
      </c>
      <c r="H675" s="5" t="s">
        <v>5</v>
      </c>
    </row>
    <row r="676" spans="2:8" x14ac:dyDescent="0.25">
      <c r="B676" s="5" t="s">
        <v>381</v>
      </c>
      <c r="C676" s="5" t="s">
        <v>436</v>
      </c>
      <c r="D676" s="4"/>
      <c r="E676" s="4"/>
      <c r="F676" s="4"/>
      <c r="G676" s="4"/>
    </row>
    <row r="677" spans="2:8" x14ac:dyDescent="0.25">
      <c r="B677" s="5" t="s">
        <v>376</v>
      </c>
      <c r="C677" s="4">
        <v>605</v>
      </c>
      <c r="D677" s="4">
        <v>20</v>
      </c>
      <c r="E677" s="4">
        <f>ROUND(C677*D677/100,2)</f>
        <v>121</v>
      </c>
      <c r="F677" s="4">
        <f>60.5+E677</f>
        <v>181.5</v>
      </c>
      <c r="G677" s="4">
        <f>E677+F677</f>
        <v>302.5</v>
      </c>
      <c r="H677" s="4">
        <f>C677-G677</f>
        <v>302.5</v>
      </c>
    </row>
    <row r="678" spans="2:8" x14ac:dyDescent="0.25">
      <c r="B678" s="5" t="s">
        <v>377</v>
      </c>
      <c r="C678" s="4">
        <v>144.66999999999999</v>
      </c>
      <c r="D678" s="4">
        <v>20</v>
      </c>
      <c r="E678" s="4">
        <v>28.94</v>
      </c>
      <c r="F678" s="4">
        <f>14.47+E678</f>
        <v>43.410000000000004</v>
      </c>
      <c r="G678" s="4">
        <f>E678+F678</f>
        <v>72.350000000000009</v>
      </c>
      <c r="H678" s="4">
        <f>C678-G678</f>
        <v>72.319999999999979</v>
      </c>
    </row>
    <row r="679" spans="2:8" x14ac:dyDescent="0.25">
      <c r="B679" s="5" t="s">
        <v>378</v>
      </c>
      <c r="C679" s="4">
        <v>50.82</v>
      </c>
      <c r="D679" s="4">
        <v>20</v>
      </c>
      <c r="E679" s="4">
        <f>ROUND(C679*D679/100,2)</f>
        <v>10.16</v>
      </c>
      <c r="F679" s="4">
        <f>5.08+E679</f>
        <v>15.24</v>
      </c>
      <c r="G679" s="4">
        <f>E679+F679</f>
        <v>25.4</v>
      </c>
      <c r="H679" s="4">
        <f>C679-G679</f>
        <v>25.42</v>
      </c>
    </row>
    <row r="680" spans="2:8" x14ac:dyDescent="0.25">
      <c r="B680" s="5" t="s">
        <v>451</v>
      </c>
      <c r="C680" s="12">
        <v>-800.49</v>
      </c>
      <c r="D680" s="12"/>
      <c r="E680" s="12">
        <v>-160.09</v>
      </c>
      <c r="F680" s="12">
        <f>-80.05+E680+0.2</f>
        <v>-239.94</v>
      </c>
      <c r="G680" s="12">
        <f>E680+F680</f>
        <v>-400.03</v>
      </c>
      <c r="H680" s="12">
        <f>C680-G680</f>
        <v>-400.46000000000004</v>
      </c>
    </row>
    <row r="681" spans="2:8" x14ac:dyDescent="0.25">
      <c r="B681" s="5" t="s">
        <v>379</v>
      </c>
      <c r="C681" s="4">
        <f>SUM(C677:C680)</f>
        <v>0</v>
      </c>
      <c r="D681" s="4"/>
      <c r="E681" s="4">
        <f>SUM(E677:E680)</f>
        <v>9.9999999999909051E-3</v>
      </c>
      <c r="F681" s="4">
        <f>SUM(F677:F680)</f>
        <v>0.21000000000000796</v>
      </c>
      <c r="G681" s="4">
        <f>SUM(G677:G680)</f>
        <v>0.22000000000002728</v>
      </c>
      <c r="H681" s="4">
        <f>SUM(H677:H680)</f>
        <v>-0.22000000000002728</v>
      </c>
    </row>
    <row r="682" spans="2:8" x14ac:dyDescent="0.25">
      <c r="B682" s="5" t="s">
        <v>193</v>
      </c>
      <c r="C682" s="4">
        <f>C650+C660+C665+C681</f>
        <v>20644.099999999999</v>
      </c>
      <c r="D682" s="4"/>
      <c r="E682" s="4">
        <f>E650+E660+E665+E681</f>
        <v>1620.732</v>
      </c>
      <c r="F682" s="4">
        <f>F650+F660+F665+F681</f>
        <v>14442.802</v>
      </c>
      <c r="G682" s="4">
        <f>G650+G660+G665+G681</f>
        <v>16063.534</v>
      </c>
      <c r="H682" s="4">
        <f>H650+H660+H665+H681</f>
        <v>4405.7060000000001</v>
      </c>
    </row>
    <row r="684" spans="2:8" ht="12" customHeight="1" x14ac:dyDescent="0.25">
      <c r="B684" s="5" t="s">
        <v>293</v>
      </c>
      <c r="C684" s="4"/>
      <c r="E684" s="4"/>
      <c r="G684" s="4"/>
      <c r="H684" s="4"/>
    </row>
    <row r="685" spans="2:8" ht="12" customHeight="1" x14ac:dyDescent="0.25">
      <c r="B685" s="5" t="s">
        <v>560</v>
      </c>
      <c r="C685" s="4">
        <v>3263.77</v>
      </c>
      <c r="E685" s="4"/>
      <c r="F685" s="5">
        <v>3263.77</v>
      </c>
      <c r="G685" s="4">
        <v>3263.77</v>
      </c>
      <c r="H685" s="4">
        <v>0</v>
      </c>
    </row>
    <row r="686" spans="2:8" x14ac:dyDescent="0.25">
      <c r="B686" s="5" t="s">
        <v>489</v>
      </c>
      <c r="C686" s="4">
        <v>-1240.3699999999999</v>
      </c>
      <c r="E686" s="4">
        <v>0</v>
      </c>
      <c r="F686" s="4">
        <v>-1240.3699999999999</v>
      </c>
      <c r="G686" s="5">
        <v>-1240.3699999999999</v>
      </c>
      <c r="H686" s="4">
        <f t="shared" ref="H686:H692" si="44">C686-G686</f>
        <v>0</v>
      </c>
    </row>
    <row r="687" spans="2:8" x14ac:dyDescent="0.25">
      <c r="B687" s="5" t="s">
        <v>490</v>
      </c>
      <c r="C687" s="4">
        <v>-422.4</v>
      </c>
      <c r="E687" s="4">
        <f t="shared" ref="E687:E695" si="45">ROUND(C687*D687/100,2)</f>
        <v>0</v>
      </c>
      <c r="F687" s="4">
        <v>-422.4</v>
      </c>
      <c r="G687" s="4">
        <v>-422.4</v>
      </c>
      <c r="H687" s="4">
        <f t="shared" si="44"/>
        <v>0</v>
      </c>
    </row>
    <row r="688" spans="2:8" x14ac:dyDescent="0.25">
      <c r="B688" s="5" t="s">
        <v>491</v>
      </c>
      <c r="C688" s="4">
        <v>-468</v>
      </c>
      <c r="E688" s="4">
        <f t="shared" si="45"/>
        <v>0</v>
      </c>
      <c r="F688" s="4">
        <v>-468</v>
      </c>
      <c r="G688" s="4">
        <v>-468</v>
      </c>
      <c r="H688" s="4">
        <f>C688-G688</f>
        <v>0</v>
      </c>
    </row>
    <row r="689" spans="1:11" x14ac:dyDescent="0.25">
      <c r="B689" s="5" t="s">
        <v>492</v>
      </c>
      <c r="C689" s="4">
        <v>-144</v>
      </c>
      <c r="E689" s="4">
        <f t="shared" si="45"/>
        <v>0</v>
      </c>
      <c r="F689" s="4">
        <v>-144</v>
      </c>
      <c r="G689" s="4">
        <v>-144</v>
      </c>
      <c r="H689" s="4">
        <f t="shared" si="44"/>
        <v>0</v>
      </c>
    </row>
    <row r="690" spans="1:11" x14ac:dyDescent="0.25">
      <c r="B690" s="5" t="s">
        <v>493</v>
      </c>
      <c r="C690" s="4">
        <v>-120</v>
      </c>
      <c r="D690" s="4"/>
      <c r="E690" s="4">
        <f t="shared" si="45"/>
        <v>0</v>
      </c>
      <c r="F690" s="4">
        <v>-120</v>
      </c>
      <c r="G690" s="4">
        <v>-120</v>
      </c>
      <c r="H690" s="4">
        <f t="shared" si="44"/>
        <v>0</v>
      </c>
    </row>
    <row r="691" spans="1:11" x14ac:dyDescent="0.25">
      <c r="B691" s="5" t="s">
        <v>494</v>
      </c>
      <c r="C691" s="4">
        <v>-780</v>
      </c>
      <c r="E691" s="4">
        <f t="shared" si="45"/>
        <v>0</v>
      </c>
      <c r="F691" s="4">
        <v>-780</v>
      </c>
      <c r="G691" s="4">
        <v>-780</v>
      </c>
      <c r="H691" s="4">
        <f t="shared" si="44"/>
        <v>0</v>
      </c>
      <c r="K691" s="4"/>
    </row>
    <row r="692" spans="1:11" x14ac:dyDescent="0.25">
      <c r="B692" s="5" t="s">
        <v>495</v>
      </c>
      <c r="C692" s="4">
        <v>-89</v>
      </c>
      <c r="E692" s="4">
        <f t="shared" si="45"/>
        <v>0</v>
      </c>
      <c r="F692" s="4">
        <v>-89</v>
      </c>
      <c r="G692" s="4">
        <v>-89</v>
      </c>
      <c r="H692" s="4">
        <f t="shared" si="44"/>
        <v>0</v>
      </c>
      <c r="K692" s="35"/>
    </row>
    <row r="693" spans="1:11" x14ac:dyDescent="0.25">
      <c r="B693" s="5" t="s">
        <v>540</v>
      </c>
      <c r="C693" s="4">
        <v>1</v>
      </c>
      <c r="E693" s="4">
        <f t="shared" si="45"/>
        <v>0</v>
      </c>
      <c r="F693" s="4">
        <v>0</v>
      </c>
      <c r="G693" s="4">
        <v>0</v>
      </c>
      <c r="H693" s="4">
        <v>0</v>
      </c>
      <c r="K693" s="4"/>
    </row>
    <row r="694" spans="1:11" x14ac:dyDescent="0.25">
      <c r="B694" s="21" t="s">
        <v>541</v>
      </c>
      <c r="C694" s="4">
        <v>-89</v>
      </c>
      <c r="E694" s="4">
        <f t="shared" si="45"/>
        <v>0</v>
      </c>
      <c r="F694" s="4">
        <v>-89</v>
      </c>
      <c r="G694" s="4">
        <v>-89</v>
      </c>
      <c r="H694" s="4">
        <v>0</v>
      </c>
    </row>
    <row r="695" spans="1:11" x14ac:dyDescent="0.25">
      <c r="B695" s="21" t="s">
        <v>533</v>
      </c>
      <c r="C695" s="4">
        <v>1</v>
      </c>
      <c r="E695" s="4">
        <f t="shared" si="45"/>
        <v>0</v>
      </c>
      <c r="F695" s="4">
        <v>0</v>
      </c>
      <c r="G695" s="4">
        <v>0</v>
      </c>
      <c r="H695" s="4">
        <v>0</v>
      </c>
    </row>
    <row r="696" spans="1:11" x14ac:dyDescent="0.25">
      <c r="B696" s="5" t="s">
        <v>195</v>
      </c>
      <c r="C696" s="4"/>
      <c r="D696" s="4"/>
      <c r="E696" s="4"/>
      <c r="F696" s="4"/>
      <c r="G696" s="4"/>
      <c r="H696" s="4"/>
    </row>
    <row r="697" spans="1:11" x14ac:dyDescent="0.25">
      <c r="B697" s="5" t="s">
        <v>264</v>
      </c>
      <c r="C697" s="4">
        <v>1143.5999999999999</v>
      </c>
      <c r="E697" s="4">
        <v>0</v>
      </c>
      <c r="F697" s="4">
        <v>1143.5999999999999</v>
      </c>
      <c r="G697" s="4">
        <v>1143.5999999999999</v>
      </c>
      <c r="H697" s="4">
        <v>0</v>
      </c>
    </row>
    <row r="698" spans="1:11" x14ac:dyDescent="0.25">
      <c r="B698" s="5" t="s">
        <v>288</v>
      </c>
      <c r="E698" s="4"/>
      <c r="G698" s="4"/>
      <c r="H698" s="4"/>
      <c r="K698" s="4"/>
    </row>
    <row r="699" spans="1:11" x14ac:dyDescent="0.25">
      <c r="B699" s="5" t="s">
        <v>264</v>
      </c>
      <c r="C699" s="12">
        <v>816</v>
      </c>
      <c r="D699" s="12"/>
      <c r="E699" s="12">
        <f>ROUND(C699*D699/100,2)</f>
        <v>0</v>
      </c>
      <c r="F699" s="12">
        <v>816</v>
      </c>
      <c r="G699" s="12">
        <v>816</v>
      </c>
      <c r="H699" s="12">
        <f>C699-G699</f>
        <v>0</v>
      </c>
      <c r="K699" s="4"/>
    </row>
    <row r="700" spans="1:11" x14ac:dyDescent="0.25">
      <c r="B700" s="5" t="s">
        <v>196</v>
      </c>
      <c r="C700" s="4">
        <f>SUM(C685:C699)</f>
        <v>1872.6</v>
      </c>
      <c r="D700" s="4"/>
      <c r="E700" s="4">
        <f>SUM(E686:E699)</f>
        <v>0</v>
      </c>
      <c r="F700" s="4">
        <f>SUM(F685:F699)</f>
        <v>1870.6</v>
      </c>
      <c r="G700" s="4">
        <f>SUM(G685:G699)</f>
        <v>1870.6</v>
      </c>
      <c r="H700" s="4">
        <f>SUM(H686:H699)</f>
        <v>0</v>
      </c>
      <c r="K700" s="4"/>
    </row>
    <row r="701" spans="1:11" x14ac:dyDescent="0.25">
      <c r="B701" s="5" t="s">
        <v>206</v>
      </c>
      <c r="C701" s="14">
        <f>C642+C682+C700</f>
        <v>137799.70000000001</v>
      </c>
      <c r="D701" s="36"/>
      <c r="E701" s="14">
        <f>E642+E682+E700</f>
        <v>3562.0619999999999</v>
      </c>
      <c r="F701" s="14">
        <f>F642+F682+F700</f>
        <v>105364.65200000003</v>
      </c>
      <c r="G701" s="14">
        <f>G642+G682+G700</f>
        <v>108979.86400000003</v>
      </c>
      <c r="H701" s="14">
        <f>H642+H682+H700</f>
        <v>28709.245999999999</v>
      </c>
      <c r="J701" s="10"/>
    </row>
    <row r="703" spans="1:11" x14ac:dyDescent="0.25">
      <c r="A703" s="5">
        <v>8</v>
      </c>
      <c r="B703" s="1" t="s">
        <v>268</v>
      </c>
      <c r="C703" s="3"/>
    </row>
    <row r="704" spans="1:11" x14ac:dyDescent="0.25">
      <c r="B704" s="5" t="s">
        <v>470</v>
      </c>
      <c r="C704" s="10">
        <v>38484.17</v>
      </c>
      <c r="D704" s="8"/>
      <c r="E704" s="10">
        <v>0</v>
      </c>
      <c r="F704" s="10">
        <v>38484.17</v>
      </c>
      <c r="G704" s="10">
        <v>38484.17</v>
      </c>
      <c r="H704" s="10">
        <v>0</v>
      </c>
      <c r="K704" s="4"/>
    </row>
    <row r="705" spans="2:13" x14ac:dyDescent="0.25">
      <c r="B705" s="5" t="s">
        <v>226</v>
      </c>
      <c r="C705" s="10">
        <v>35760</v>
      </c>
      <c r="D705" s="10">
        <v>15.26</v>
      </c>
      <c r="E705" s="10">
        <v>0</v>
      </c>
      <c r="F705" s="10">
        <v>35760</v>
      </c>
      <c r="G705" s="10">
        <f>E705+F705</f>
        <v>35760</v>
      </c>
      <c r="H705" s="10">
        <f>C705-G705</f>
        <v>0</v>
      </c>
      <c r="K705" s="4"/>
    </row>
    <row r="706" spans="2:13" x14ac:dyDescent="0.25">
      <c r="B706" s="8" t="s">
        <v>542</v>
      </c>
      <c r="C706" s="10">
        <f>1967.81+432.92</f>
        <v>2400.73</v>
      </c>
      <c r="D706" s="10">
        <v>15.26</v>
      </c>
      <c r="E706" s="4"/>
      <c r="F706" s="10">
        <v>2400.73</v>
      </c>
      <c r="G706" s="10">
        <v>2400.73</v>
      </c>
      <c r="H706" s="10">
        <f>C706-G706</f>
        <v>0</v>
      </c>
      <c r="K706" s="4"/>
    </row>
    <row r="707" spans="2:13" x14ac:dyDescent="0.25">
      <c r="B707" s="8" t="s">
        <v>543</v>
      </c>
      <c r="C707" s="10">
        <v>-16.39</v>
      </c>
      <c r="D707" s="10"/>
      <c r="E707" s="10"/>
      <c r="F707" s="10"/>
      <c r="G707" s="10"/>
      <c r="H707" s="10"/>
    </row>
    <row r="708" spans="2:13" x14ac:dyDescent="0.25">
      <c r="B708" s="8" t="s">
        <v>544</v>
      </c>
      <c r="C708" s="10">
        <v>16.39</v>
      </c>
      <c r="D708" s="10"/>
      <c r="E708" s="10"/>
      <c r="F708" s="10"/>
      <c r="G708" s="10"/>
      <c r="H708" s="10"/>
    </row>
    <row r="709" spans="2:13" x14ac:dyDescent="0.25">
      <c r="B709" s="37" t="s">
        <v>545</v>
      </c>
      <c r="C709" s="10">
        <v>-2130</v>
      </c>
      <c r="D709" s="10">
        <v>20</v>
      </c>
      <c r="E709" s="10">
        <v>54.15</v>
      </c>
      <c r="F709" s="10">
        <v>-2130</v>
      </c>
      <c r="G709" s="10">
        <v>-2130</v>
      </c>
      <c r="H709" s="10">
        <v>0</v>
      </c>
    </row>
    <row r="710" spans="2:13" x14ac:dyDescent="0.25">
      <c r="B710" s="5" t="s">
        <v>330</v>
      </c>
      <c r="C710" s="4">
        <f>SUM(C704:C709)</f>
        <v>74514.899999999994</v>
      </c>
      <c r="E710" s="4">
        <f>SUM(E704:E709)</f>
        <v>54.15</v>
      </c>
      <c r="F710" s="4">
        <f>SUM(F704:F709)</f>
        <v>74514.899999999994</v>
      </c>
      <c r="G710" s="4">
        <f>SUM(G704:G709)</f>
        <v>74514.899999999994</v>
      </c>
      <c r="H710" s="4">
        <f>SUM(H704:H709)</f>
        <v>0</v>
      </c>
      <c r="K710" s="4"/>
    </row>
    <row r="711" spans="2:13" x14ac:dyDescent="0.25">
      <c r="B711" s="5" t="s">
        <v>19</v>
      </c>
      <c r="C711" s="14">
        <f>C710</f>
        <v>74514.899999999994</v>
      </c>
      <c r="D711" s="39"/>
      <c r="E711" s="14">
        <f>SUM(E710:E710)</f>
        <v>54.15</v>
      </c>
      <c r="F711" s="14">
        <f>SUM(F710:F710)</f>
        <v>74514.899999999994</v>
      </c>
      <c r="G711" s="14">
        <f>SUM(G710:G710)</f>
        <v>74514.899999999994</v>
      </c>
      <c r="H711" s="14">
        <f>SUM(H710:H710)</f>
        <v>0</v>
      </c>
      <c r="K711" s="35"/>
    </row>
    <row r="712" spans="2:13" x14ac:dyDescent="0.25">
      <c r="K712" s="4"/>
      <c r="M712" s="4"/>
    </row>
    <row r="713" spans="2:13" x14ac:dyDescent="0.25">
      <c r="B713" s="5" t="s">
        <v>562</v>
      </c>
    </row>
    <row r="714" spans="2:13" x14ac:dyDescent="0.25">
      <c r="H714" s="4"/>
    </row>
    <row r="717" spans="2:13" x14ac:dyDescent="0.25">
      <c r="G717" s="4"/>
    </row>
    <row r="730" spans="2:8" x14ac:dyDescent="0.25">
      <c r="B730" s="1"/>
      <c r="C730" s="4"/>
      <c r="E730" s="15"/>
      <c r="F730" s="16"/>
    </row>
    <row r="731" spans="2:8" x14ac:dyDescent="0.25">
      <c r="C731" s="4"/>
      <c r="E731" s="4"/>
      <c r="F731" s="4"/>
      <c r="G731" s="4"/>
      <c r="H731" s="4"/>
    </row>
    <row r="732" spans="2:8" x14ac:dyDescent="0.25">
      <c r="C732" s="4"/>
      <c r="F732" s="4"/>
      <c r="G732" s="4"/>
      <c r="H732" s="4"/>
    </row>
    <row r="733" spans="2:8" x14ac:dyDescent="0.25">
      <c r="C733" s="4"/>
      <c r="F733" s="4"/>
      <c r="G733" s="4"/>
      <c r="H733" s="4"/>
    </row>
    <row r="734" spans="2:8" x14ac:dyDescent="0.25">
      <c r="B734" s="4"/>
      <c r="C734" s="4"/>
      <c r="D734" s="4"/>
      <c r="E734" s="4"/>
      <c r="F734" s="4"/>
      <c r="G734" s="4"/>
      <c r="H734" s="4"/>
    </row>
    <row r="735" spans="2:8" x14ac:dyDescent="0.25">
      <c r="B735" s="4"/>
      <c r="C735" s="4"/>
      <c r="D735" s="4"/>
      <c r="E735" s="4"/>
      <c r="F735" s="4"/>
      <c r="G735" s="4"/>
      <c r="H735" s="4"/>
    </row>
    <row r="736" spans="2:8" x14ac:dyDescent="0.25">
      <c r="B736" s="4"/>
      <c r="C736" s="4"/>
      <c r="D736" s="4"/>
      <c r="E736" s="4"/>
      <c r="F736" s="4"/>
      <c r="G736" s="4"/>
      <c r="H736" s="4"/>
    </row>
    <row r="737" spans="2:8" x14ac:dyDescent="0.25">
      <c r="B737" s="4"/>
      <c r="C737" s="4"/>
      <c r="D737" s="4"/>
      <c r="E737" s="4"/>
      <c r="F737" s="4"/>
      <c r="G737" s="4"/>
      <c r="H737" s="4"/>
    </row>
    <row r="738" spans="2:8" x14ac:dyDescent="0.25">
      <c r="B738" s="4"/>
      <c r="C738" s="4"/>
      <c r="D738" s="4"/>
      <c r="E738" s="4"/>
      <c r="F738" s="4"/>
      <c r="G738" s="4"/>
      <c r="H738" s="4"/>
    </row>
    <row r="739" spans="2:8" x14ac:dyDescent="0.25">
      <c r="B739" s="4"/>
      <c r="C739" s="4"/>
      <c r="D739" s="4"/>
      <c r="E739" s="4"/>
      <c r="F739" s="4"/>
      <c r="G739" s="4"/>
      <c r="H739" s="4"/>
    </row>
    <row r="740" spans="2:8" x14ac:dyDescent="0.25">
      <c r="B740" s="4"/>
      <c r="C740" s="4"/>
      <c r="D740" s="4"/>
      <c r="E740" s="4"/>
      <c r="F740" s="4"/>
      <c r="G740" s="4"/>
      <c r="H740" s="4"/>
    </row>
    <row r="741" spans="2:8" x14ac:dyDescent="0.25">
      <c r="B741" s="4"/>
      <c r="C741" s="4"/>
      <c r="D741" s="4"/>
      <c r="E741" s="4"/>
      <c r="F741" s="4"/>
      <c r="G741" s="4"/>
      <c r="H741" s="4"/>
    </row>
    <row r="742" spans="2:8" x14ac:dyDescent="0.25">
      <c r="B742" s="4"/>
      <c r="C742" s="4"/>
      <c r="D742" s="4"/>
      <c r="E742" s="4"/>
      <c r="F742" s="4"/>
      <c r="G742" s="4"/>
      <c r="H742" s="4"/>
    </row>
    <row r="743" spans="2:8" x14ac:dyDescent="0.25">
      <c r="B743" s="4"/>
      <c r="C743" s="4"/>
      <c r="D743" s="4"/>
      <c r="E743" s="4"/>
      <c r="F743" s="4"/>
      <c r="G743" s="4"/>
      <c r="H743" s="4"/>
    </row>
    <row r="744" spans="2:8" x14ac:dyDescent="0.25">
      <c r="B744" s="4"/>
      <c r="C744" s="4"/>
      <c r="D744" s="4"/>
      <c r="E744" s="4"/>
      <c r="F744" s="4"/>
      <c r="G744" s="4"/>
      <c r="H744" s="4"/>
    </row>
    <row r="745" spans="2:8" x14ac:dyDescent="0.25">
      <c r="B745" s="4"/>
      <c r="C745" s="4"/>
      <c r="D745" s="4"/>
      <c r="E745" s="4"/>
      <c r="F745" s="4"/>
      <c r="G745" s="4"/>
      <c r="H745" s="4"/>
    </row>
    <row r="746" spans="2:8" x14ac:dyDescent="0.25">
      <c r="B746" s="4"/>
      <c r="C746" s="4"/>
      <c r="D746" s="4"/>
      <c r="E746" s="4"/>
      <c r="F746" s="4"/>
      <c r="G746" s="4"/>
      <c r="H746" s="4"/>
    </row>
    <row r="747" spans="2:8" x14ac:dyDescent="0.25">
      <c r="B747" s="4"/>
      <c r="C747" s="4"/>
      <c r="D747" s="4"/>
      <c r="E747" s="4"/>
      <c r="F747" s="4"/>
      <c r="G747" s="4"/>
      <c r="H747" s="4"/>
    </row>
    <row r="748" spans="2:8" x14ac:dyDescent="0.25">
      <c r="B748" s="4"/>
      <c r="C748" s="4"/>
      <c r="D748" s="4"/>
      <c r="E748" s="4"/>
      <c r="F748" s="4"/>
      <c r="G748" s="4"/>
      <c r="H748" s="4"/>
    </row>
    <row r="749" spans="2:8" x14ac:dyDescent="0.25">
      <c r="B749" s="4"/>
      <c r="C749" s="4"/>
      <c r="D749" s="4"/>
      <c r="E749" s="4"/>
      <c r="F749" s="4"/>
      <c r="G749" s="4"/>
      <c r="H749" s="4"/>
    </row>
    <row r="750" spans="2:8" x14ac:dyDescent="0.25">
      <c r="B750" s="4"/>
      <c r="C750" s="4"/>
      <c r="D750" s="4"/>
      <c r="E750" s="4"/>
      <c r="F750" s="4"/>
      <c r="G750" s="4"/>
      <c r="H750" s="4"/>
    </row>
    <row r="751" spans="2:8" x14ac:dyDescent="0.25">
      <c r="B751" s="4"/>
      <c r="C751" s="4"/>
      <c r="D751" s="4"/>
      <c r="E751" s="4"/>
      <c r="F751" s="4"/>
      <c r="G751" s="4"/>
      <c r="H751" s="4"/>
    </row>
    <row r="752" spans="2:8" x14ac:dyDescent="0.25">
      <c r="B752" s="4"/>
      <c r="C752" s="4"/>
      <c r="D752" s="4"/>
      <c r="E752" s="4"/>
      <c r="F752" s="4"/>
      <c r="G752" s="4"/>
      <c r="H752" s="4"/>
    </row>
    <row r="753" spans="2:8" x14ac:dyDescent="0.25">
      <c r="B753" s="4"/>
      <c r="C753" s="4"/>
      <c r="D753" s="4"/>
      <c r="E753" s="4"/>
      <c r="F753" s="4"/>
      <c r="G753" s="4"/>
      <c r="H753" s="4"/>
    </row>
    <row r="754" spans="2:8" x14ac:dyDescent="0.25">
      <c r="B754" s="4"/>
      <c r="C754" s="4"/>
      <c r="D754" s="4"/>
      <c r="E754" s="4"/>
      <c r="F754" s="4"/>
      <c r="G754" s="4"/>
      <c r="H754" s="4"/>
    </row>
    <row r="755" spans="2:8" x14ac:dyDescent="0.25">
      <c r="B755" s="4"/>
      <c r="C755" s="4"/>
      <c r="D755" s="4"/>
      <c r="E755" s="4"/>
      <c r="F755" s="4"/>
      <c r="G755" s="4"/>
      <c r="H755" s="4"/>
    </row>
    <row r="756" spans="2:8" x14ac:dyDescent="0.25">
      <c r="B756" s="4"/>
      <c r="C756" s="4"/>
      <c r="D756" s="4"/>
      <c r="E756" s="4"/>
      <c r="F756" s="4"/>
      <c r="G756" s="4"/>
      <c r="H756" s="4"/>
    </row>
    <row r="757" spans="2:8" x14ac:dyDescent="0.25">
      <c r="B757" s="4"/>
      <c r="C757" s="4"/>
      <c r="D757" s="4"/>
      <c r="E757" s="4"/>
      <c r="F757" s="4"/>
      <c r="G757" s="4"/>
      <c r="H757" s="4"/>
    </row>
    <row r="758" spans="2:8" x14ac:dyDescent="0.25">
      <c r="B758" s="4"/>
      <c r="C758" s="4"/>
      <c r="D758" s="4"/>
      <c r="E758" s="4"/>
      <c r="F758" s="4"/>
      <c r="G758" s="4"/>
      <c r="H758" s="4"/>
    </row>
    <row r="759" spans="2:8" x14ac:dyDescent="0.25">
      <c r="B759" s="4"/>
      <c r="C759" s="4"/>
      <c r="D759" s="4"/>
      <c r="E759" s="4"/>
      <c r="F759" s="4"/>
      <c r="G759" s="4"/>
      <c r="H759" s="4"/>
    </row>
    <row r="760" spans="2:8" x14ac:dyDescent="0.25">
      <c r="B760" s="4"/>
      <c r="C760" s="4"/>
      <c r="D760" s="4"/>
      <c r="E760" s="4"/>
      <c r="F760" s="4"/>
      <c r="G760" s="4"/>
      <c r="H760" s="4"/>
    </row>
    <row r="761" spans="2:8" x14ac:dyDescent="0.25">
      <c r="B761" s="4"/>
      <c r="C761" s="4"/>
      <c r="D761" s="4"/>
      <c r="E761" s="4"/>
      <c r="F761" s="4"/>
      <c r="G761" s="4"/>
      <c r="H761" s="4"/>
    </row>
    <row r="762" spans="2:8" x14ac:dyDescent="0.25">
      <c r="B762" s="4"/>
      <c r="C762" s="4"/>
      <c r="D762" s="4"/>
      <c r="E762" s="4"/>
      <c r="F762" s="4"/>
      <c r="G762" s="4"/>
      <c r="H762" s="4"/>
    </row>
    <row r="763" spans="2:8" x14ac:dyDescent="0.25">
      <c r="B763" s="4"/>
      <c r="C763" s="4"/>
      <c r="D763" s="4"/>
      <c r="E763" s="4"/>
      <c r="F763" s="4"/>
      <c r="G763" s="4"/>
      <c r="H763" s="4"/>
    </row>
    <row r="764" spans="2:8" x14ac:dyDescent="0.25">
      <c r="B764" s="4"/>
      <c r="C764" s="4"/>
      <c r="D764" s="4"/>
      <c r="E764" s="4"/>
      <c r="F764" s="4"/>
      <c r="G764" s="4"/>
      <c r="H764" s="4"/>
    </row>
    <row r="765" spans="2:8" x14ac:dyDescent="0.25">
      <c r="B765" s="4"/>
      <c r="C765" s="4"/>
      <c r="D765" s="4"/>
      <c r="E765" s="4"/>
      <c r="F765" s="4"/>
      <c r="G765" s="4"/>
      <c r="H765" s="4"/>
    </row>
    <row r="766" spans="2:8" x14ac:dyDescent="0.25">
      <c r="B766" s="4"/>
      <c r="C766" s="4"/>
      <c r="D766" s="4"/>
      <c r="E766" s="4"/>
      <c r="F766" s="4"/>
      <c r="G766" s="4"/>
      <c r="H766" s="4"/>
    </row>
    <row r="767" spans="2:8" x14ac:dyDescent="0.25">
      <c r="B767" s="4"/>
      <c r="C767" s="4"/>
      <c r="D767" s="4"/>
      <c r="E767" s="4"/>
      <c r="F767" s="4"/>
      <c r="G767" s="4"/>
      <c r="H767" s="4"/>
    </row>
    <row r="779" spans="3:8" x14ac:dyDescent="0.25">
      <c r="C779" s="4"/>
      <c r="F779" s="4"/>
      <c r="H779" s="4"/>
    </row>
    <row r="780" spans="3:8" x14ac:dyDescent="0.25">
      <c r="C780" s="4"/>
      <c r="F780" s="4"/>
      <c r="H780" s="4"/>
    </row>
    <row r="781" spans="3:8" x14ac:dyDescent="0.25">
      <c r="C781" s="4"/>
      <c r="F781" s="4"/>
      <c r="H781" s="4"/>
    </row>
    <row r="782" spans="3:8" x14ac:dyDescent="0.25">
      <c r="C782" s="4"/>
      <c r="F782" s="4"/>
      <c r="H782" s="4"/>
    </row>
    <row r="783" spans="3:8" x14ac:dyDescent="0.25">
      <c r="C783" s="4"/>
      <c r="F783" s="4"/>
      <c r="H783" s="4"/>
    </row>
    <row r="784" spans="3:8" x14ac:dyDescent="0.25">
      <c r="C784" s="4"/>
      <c r="F784" s="4"/>
      <c r="H784" s="4"/>
    </row>
    <row r="785" spans="3:8" x14ac:dyDescent="0.25">
      <c r="C785" s="4"/>
      <c r="F785" s="4"/>
      <c r="H785" s="4"/>
    </row>
    <row r="832" spans="3:6" x14ac:dyDescent="0.25">
      <c r="C832" s="1"/>
      <c r="D832" s="1"/>
      <c r="E832" s="1"/>
      <c r="F832" s="1"/>
    </row>
    <row r="834" spans="2:8" x14ac:dyDescent="0.25">
      <c r="D834" s="10"/>
      <c r="E834" s="10"/>
    </row>
    <row r="835" spans="2:8" x14ac:dyDescent="0.25">
      <c r="B835" s="2"/>
      <c r="C835" s="10"/>
      <c r="D835" s="10"/>
      <c r="E835" s="10"/>
      <c r="H835" s="10"/>
    </row>
    <row r="836" spans="2:8" x14ac:dyDescent="0.25">
      <c r="C836" s="4"/>
      <c r="D836" s="10"/>
      <c r="E836" s="10"/>
      <c r="H836" s="10"/>
    </row>
    <row r="837" spans="2:8" x14ac:dyDescent="0.25">
      <c r="B837" s="2"/>
      <c r="D837" s="10"/>
      <c r="E837" s="10"/>
    </row>
    <row r="838" spans="2:8" x14ac:dyDescent="0.25">
      <c r="C838" s="4"/>
      <c r="D838" s="10"/>
      <c r="E838" s="4"/>
      <c r="F838" s="4"/>
      <c r="G838" s="4"/>
      <c r="H838" s="4"/>
    </row>
    <row r="888" spans="2:3" x14ac:dyDescent="0.25">
      <c r="C888" s="10"/>
    </row>
    <row r="890" spans="2:3" x14ac:dyDescent="0.25">
      <c r="B890" s="8"/>
    </row>
    <row r="891" spans="2:3" x14ac:dyDescent="0.25">
      <c r="B891" s="8"/>
    </row>
    <row r="892" spans="2:3" x14ac:dyDescent="0.25">
      <c r="B892" s="8"/>
    </row>
    <row r="905" spans="2:2" x14ac:dyDescent="0.25">
      <c r="B905" s="1"/>
    </row>
    <row r="909" spans="2:2" x14ac:dyDescent="0.25">
      <c r="B909" s="1"/>
    </row>
    <row r="914" spans="2:8" x14ac:dyDescent="0.25">
      <c r="B914" s="1"/>
    </row>
    <row r="922" spans="2:8" x14ac:dyDescent="0.25">
      <c r="B922" s="1"/>
    </row>
    <row r="924" spans="2:8" x14ac:dyDescent="0.25">
      <c r="D924" s="10"/>
      <c r="F924" s="10"/>
      <c r="G924" s="4"/>
      <c r="H924" s="4"/>
    </row>
    <row r="936" spans="2:3" x14ac:dyDescent="0.25">
      <c r="C936" s="4"/>
    </row>
    <row r="937" spans="2:3" x14ac:dyDescent="0.25">
      <c r="B937" s="1"/>
    </row>
  </sheetData>
  <phoneticPr fontId="4" type="noConversion"/>
  <pageMargins left="0.25" right="0.25" top="1" bottom="1" header="0.3" footer="0.3"/>
  <pageSetup paperSize="9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3.2" x14ac:dyDescent="0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3.2" x14ac:dyDescent="0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Grafici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Grafico1</vt:lpstr>
    </vt:vector>
  </TitlesOfParts>
  <Company>Cantina Soc. Coop. Sacile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Cantina Soc. Coop. Sacile</dc:creator>
  <cp:lastModifiedBy>user</cp:lastModifiedBy>
  <cp:lastPrinted>2017-07-10T16:16:34Z</cp:lastPrinted>
  <dcterms:created xsi:type="dcterms:W3CDTF">2001-09-21T06:27:09Z</dcterms:created>
  <dcterms:modified xsi:type="dcterms:W3CDTF">2017-09-16T15:28:08Z</dcterms:modified>
</cp:coreProperties>
</file>